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Group Finance\Reports\Qrapp\2025\Q1 2025\Nyckeltalsfiler\"/>
    </mc:Choice>
  </mc:AlternateContent>
  <xr:revisionPtr revIDLastSave="0" documentId="13_ncr:1_{EBF46CD5-7C6E-4D29-B023-32D285D73FA1}" xr6:coauthVersionLast="47" xr6:coauthVersionMax="47" xr10:uidLastSave="{00000000-0000-0000-0000-000000000000}"/>
  <bookViews>
    <workbookView xWindow="-120" yWindow="-120" windowWidth="29040" windowHeight="15840" xr2:uid="{00000000-000D-0000-FFFF-FFFF00000000}"/>
  </bookViews>
  <sheets>
    <sheet name="Definitioner" sheetId="1" r:id="rId1"/>
    <sheet name="RR" sheetId="2" r:id="rId2"/>
    <sheet name="BR" sheetId="3" r:id="rId3"/>
    <sheet name="Kassaflöde" sheetId="4" r:id="rId4"/>
  </sheets>
  <definedNames>
    <definedName name="Average_capital_employed" localSheetId="1">RR!$B$91</definedName>
    <definedName name="Avkastning_på_sysselsatt_kapital">RR!$B$88</definedName>
    <definedName name="Balance_Sheets__SEK_M" localSheetId="2">BR!$B$3</definedName>
    <definedName name="Balansräkningar">BR!$B$1</definedName>
    <definedName name="CapEmp" localSheetId="2">BR!#REF!</definedName>
    <definedName name="Capital_employed" localSheetId="2">BR!#REF!</definedName>
    <definedName name="Capital_turnover_rate" localSheetId="1">RR!$B$101</definedName>
    <definedName name="CasConRat" localSheetId="3">Kassaflöde!$B$47</definedName>
    <definedName name="Cash_conversion_ratio" localSheetId="3">Kassaflöde!$B$44</definedName>
    <definedName name="Cash_Flow" localSheetId="3">Kassaflöde!$B$1</definedName>
    <definedName name="Cash_Flow__SEK_M" localSheetId="3">Kassaflöde!$B$3</definedName>
    <definedName name="Change_in_net_debt" localSheetId="2">BR!#REF!</definedName>
    <definedName name="Debt_equity_ratio" localSheetId="2">BR!#REF!</definedName>
    <definedName name="Earnings_per_share__SEK" localSheetId="1">RR!$B$26</definedName>
    <definedName name="EBIT" localSheetId="1">RR!$B$70</definedName>
    <definedName name="EBIT_">RR!$B$70</definedName>
    <definedName name="EBIT__excluding_items_affecting_comparability" localSheetId="1">RR!$B$68</definedName>
    <definedName name="EBIT__exklusive_jämförelsestörande_poster">RR!$B$68</definedName>
    <definedName name="EBIT_margin_excluding_items_affecting_comparability" localSheetId="1">RR!$B$73</definedName>
    <definedName name="EBIT_marginal_exklusive_jämföreslsestörande_poster">RR!$B$73</definedName>
    <definedName name="EBITA__excluding_items_affecting_comparability" localSheetId="1">RR!#REF!</definedName>
    <definedName name="EBITA__exklusive_jämförelsestörande_poster">RR!#REF!</definedName>
    <definedName name="EBITA_margin_excluding_items_affecting_comparability" localSheetId="1">RR!$B$72</definedName>
    <definedName name="EBITA_marginal_exklusive_jämföreslsestörande_poster">RR!$B$72</definedName>
    <definedName name="EBITDA__excluding_items_affecting_comparability" localSheetId="1">RR!$B$63</definedName>
    <definedName name="EBITDA__exklusive_jämförelsestörande_poster">RR!$B$63</definedName>
    <definedName name="EBITDA_margin_excluding_items_affecting_comparability" localSheetId="1">RR!$B$71</definedName>
    <definedName name="EBITDA_marginal_exklusive_jämföreslsestörande_poster">RR!$B$71</definedName>
    <definedName name="EBITDA_Net_interest_income_expense" localSheetId="1">RR!$B$79</definedName>
    <definedName name="EBITDA_Räntenetto">RR!$B$79</definedName>
    <definedName name="EBITspec" localSheetId="1">RR!$B$61</definedName>
    <definedName name="Eqasratio" localSheetId="2">BR!$B$60</definedName>
    <definedName name="Equity_assets_ratio" localSheetId="2">BR!$B$56</definedName>
    <definedName name="Free_cash_flow" localSheetId="3">Kassaflöde!#REF!</definedName>
    <definedName name="Free_cash_flow_per_share" localSheetId="3">Kassaflöde!$B$50</definedName>
    <definedName name="Frepsha" localSheetId="3">Kassaflöde!$B$53</definedName>
    <definedName name="Fritt_kassaflöde">Kassaflöde!#REF!</definedName>
    <definedName name="Fritt_kassaflöde_per_aktie">Kassaflöde!$B$53</definedName>
    <definedName name="Genomsnittligt_sysselsatt_kapital__R12">RR!$B$100</definedName>
    <definedName name="Income_Statements__SEK_M" localSheetId="1">RR!$B$3</definedName>
    <definedName name="Kapitalomsättningshastighet">RR!$B$101</definedName>
    <definedName name="Kassaflödesrapporter">Kassaflöde!$B$1</definedName>
    <definedName name="Kassakonvertering">Kassaflöde!$B$47</definedName>
    <definedName name="Net_debt__closing_balance" localSheetId="2">BR!#REF!</definedName>
    <definedName name="Net_debt_EBITDA_1" localSheetId="2">BR!#REF!</definedName>
    <definedName name="Nettoskuld__utgående_balans">BR!#REF!</definedName>
    <definedName name="Nettoskuld_EBITDA_1">BR!#REF!</definedName>
    <definedName name="opcapsh" localSheetId="3">Kassaflöde!$B$59</definedName>
    <definedName name="Operating_cash_flow" localSheetId="3">Kassaflöde!$B$14</definedName>
    <definedName name="Operating_cash_flow_per_share" localSheetId="3">Kassaflöde!$B$56</definedName>
    <definedName name="Operativt_kassaflöde">Kassaflöde!$B$14</definedName>
    <definedName name="Operativt_kassaflöde_per_aktie">Kassaflöde!$B$59</definedName>
    <definedName name="P_E_ratio" localSheetId="1">RR!$B$82</definedName>
    <definedName name="P_E_tal">RR!$B$85</definedName>
    <definedName name="PEra" localSheetId="1">RR!$B$85</definedName>
    <definedName name="RatCapTurn" localSheetId="1">RR!$B$98</definedName>
    <definedName name="Resultat_per_aktie__SEK">RR!$B$26</definedName>
    <definedName name="Resultaträkningar">RR!$B$1</definedName>
    <definedName name="RetCapEmp" localSheetId="1">RR!$B$88</definedName>
    <definedName name="Rntek">RR!$B$105</definedName>
    <definedName name="Skuldsättningsgrad">BR!#REF!</definedName>
    <definedName name="Soliditet">BR!$B$60</definedName>
    <definedName name="Spec_of_cap_empl" localSheetId="2">BR!#REF!</definedName>
    <definedName name="Sysselsatt_kapital">BR!#REF!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1" i="2" l="1"/>
  <c r="AB63" i="2"/>
  <c r="AG8" i="4"/>
  <c r="AA43" i="3"/>
  <c r="AA44" i="3"/>
  <c r="AG101" i="2"/>
  <c r="AG100" i="2"/>
  <c r="AG56" i="4" l="1"/>
  <c r="AG50" i="4"/>
  <c r="AG44" i="4"/>
  <c r="AG18" i="4"/>
  <c r="AG58" i="4"/>
  <c r="AG6" i="4"/>
  <c r="AG5" i="4"/>
  <c r="AA57" i="3"/>
  <c r="AA64" i="3"/>
  <c r="AA40" i="3"/>
  <c r="AA69" i="3"/>
  <c r="AA68" i="3"/>
  <c r="AA67" i="3"/>
  <c r="AA66" i="3"/>
  <c r="AA41" i="3"/>
  <c r="AA52" i="3" s="1"/>
  <c r="AA23" i="3" s="1"/>
  <c r="AA34" i="3"/>
  <c r="AA29" i="3"/>
  <c r="AA18" i="3"/>
  <c r="AA12" i="3"/>
  <c r="AG111" i="2"/>
  <c r="AG108" i="2"/>
  <c r="AG109" i="2" s="1"/>
  <c r="AG105" i="2"/>
  <c r="AG98" i="2"/>
  <c r="AG88" i="2"/>
  <c r="AG82" i="2"/>
  <c r="AG76" i="2"/>
  <c r="AG69" i="2"/>
  <c r="AG61" i="2"/>
  <c r="AG40" i="2"/>
  <c r="AG26" i="2"/>
  <c r="AG112" i="2"/>
  <c r="AG113" i="2" s="1"/>
  <c r="AG99" i="2"/>
  <c r="AG85" i="2"/>
  <c r="AG79" i="2"/>
  <c r="AG52" i="2"/>
  <c r="AG46" i="2"/>
  <c r="AG29" i="2"/>
  <c r="AG6" i="2"/>
  <c r="AG13" i="2" s="1"/>
  <c r="AG4" i="4" s="1"/>
  <c r="AD112" i="2"/>
  <c r="AE112" i="2"/>
  <c r="AF108" i="2"/>
  <c r="AE108" i="2"/>
  <c r="AF57" i="2"/>
  <c r="AG7" i="4" l="1"/>
  <c r="AG89" i="2"/>
  <c r="AG46" i="4" s="1"/>
  <c r="AA20" i="3"/>
  <c r="AA59" i="3" s="1"/>
  <c r="AA70" i="3"/>
  <c r="AA58" i="3"/>
  <c r="AA36" i="3"/>
  <c r="AG53" i="2"/>
  <c r="AG15" i="2"/>
  <c r="Z34" i="3"/>
  <c r="AG14" i="4" l="1"/>
  <c r="AG16" i="4"/>
  <c r="AA60" i="3"/>
  <c r="AG93" i="2"/>
  <c r="AG70" i="2"/>
  <c r="AG63" i="2" s="1"/>
  <c r="AG66" i="2" s="1"/>
  <c r="AG17" i="2"/>
  <c r="AG19" i="2" s="1"/>
  <c r="AG21" i="2" s="1"/>
  <c r="AG41" i="2" s="1"/>
  <c r="AG54" i="2" s="1"/>
  <c r="AG90" i="2"/>
  <c r="AG94" i="2" s="1"/>
  <c r="AE90" i="2"/>
  <c r="AE84" i="2"/>
  <c r="AE63" i="2"/>
  <c r="AG20" i="4" l="1"/>
  <c r="AG71" i="2"/>
  <c r="AF106" i="2"/>
  <c r="AE29" i="2"/>
  <c r="AF27" i="2"/>
  <c r="AF58" i="4"/>
  <c r="AF38" i="4"/>
  <c r="AF35" i="4"/>
  <c r="AF34" i="4"/>
  <c r="AF33" i="4"/>
  <c r="AF30" i="4"/>
  <c r="AF29" i="4"/>
  <c r="AG29" i="4" s="1"/>
  <c r="AF28" i="4"/>
  <c r="AF26" i="4"/>
  <c r="AF22" i="4"/>
  <c r="AF23" i="4"/>
  <c r="AF24" i="4"/>
  <c r="AF21" i="4"/>
  <c r="AG21" i="4" s="1"/>
  <c r="AE58" i="4"/>
  <c r="AE56" i="4"/>
  <c r="AE50" i="4"/>
  <c r="AE44" i="4"/>
  <c r="AF13" i="4"/>
  <c r="AF12" i="4"/>
  <c r="AF11" i="4"/>
  <c r="AF10" i="4"/>
  <c r="AF9" i="4"/>
  <c r="AF8" i="4"/>
  <c r="AE6" i="4"/>
  <c r="AE5" i="4"/>
  <c r="Z69" i="3"/>
  <c r="Z68" i="3"/>
  <c r="Z67" i="3"/>
  <c r="Z66" i="3"/>
  <c r="Z39" i="3"/>
  <c r="Z56" i="3" s="1"/>
  <c r="Z63" i="3" s="1"/>
  <c r="Z29" i="3"/>
  <c r="Z18" i="3"/>
  <c r="Z12" i="3"/>
  <c r="AF107" i="2"/>
  <c r="AF111" i="2" s="1"/>
  <c r="AF110" i="2"/>
  <c r="AF105" i="2"/>
  <c r="AF98" i="2"/>
  <c r="AF61" i="2"/>
  <c r="AF88" i="2"/>
  <c r="AF82" i="2"/>
  <c r="AF76" i="2"/>
  <c r="AF40" i="2"/>
  <c r="AF26" i="2"/>
  <c r="AF92" i="2"/>
  <c r="AF100" i="2" s="1"/>
  <c r="AF91" i="2"/>
  <c r="AF84" i="2"/>
  <c r="AF83" i="2"/>
  <c r="AF78" i="2"/>
  <c r="AF77" i="2"/>
  <c r="AF58" i="2"/>
  <c r="AF35" i="2"/>
  <c r="AF34" i="2"/>
  <c r="AF31" i="2"/>
  <c r="AF30" i="2"/>
  <c r="AF4" i="2"/>
  <c r="AF67" i="2"/>
  <c r="AF65" i="2"/>
  <c r="AF64" i="2"/>
  <c r="AF5" i="4" s="1"/>
  <c r="AF51" i="2"/>
  <c r="AF50" i="2"/>
  <c r="AF49" i="2"/>
  <c r="AF48" i="2"/>
  <c r="AF45" i="2"/>
  <c r="AF44" i="2"/>
  <c r="AF23" i="2"/>
  <c r="AF22" i="2"/>
  <c r="AF18" i="2"/>
  <c r="AF16" i="2"/>
  <c r="AF14" i="2"/>
  <c r="AF12" i="2"/>
  <c r="AF11" i="2"/>
  <c r="AF10" i="2"/>
  <c r="AF9" i="2"/>
  <c r="AF8" i="2"/>
  <c r="AF7" i="2"/>
  <c r="AF5" i="2"/>
  <c r="AA4" i="2"/>
  <c r="AE99" i="2"/>
  <c r="AE69" i="2"/>
  <c r="AE111" i="2"/>
  <c r="AE109" i="2"/>
  <c r="AE100" i="2"/>
  <c r="AE85" i="2"/>
  <c r="AE79" i="2"/>
  <c r="AE52" i="2"/>
  <c r="AE46" i="2"/>
  <c r="AE26" i="2"/>
  <c r="AE40" i="2" s="1"/>
  <c r="AE61" i="2" s="1"/>
  <c r="AE76" i="2" s="1"/>
  <c r="AE82" i="2" s="1"/>
  <c r="AE88" i="2" s="1"/>
  <c r="AE98" i="2" s="1"/>
  <c r="AE105" i="2" s="1"/>
  <c r="AE6" i="2"/>
  <c r="AE13" i="2" s="1"/>
  <c r="AE4" i="4" s="1"/>
  <c r="AG25" i="4" l="1"/>
  <c r="AG72" i="2"/>
  <c r="AG73" i="2"/>
  <c r="AF6" i="4"/>
  <c r="AE53" i="2"/>
  <c r="AF29" i="2"/>
  <c r="AE7" i="4"/>
  <c r="AE14" i="4" s="1"/>
  <c r="AF6" i="2"/>
  <c r="AF13" i="2" s="1"/>
  <c r="AF4" i="4" s="1"/>
  <c r="AF7" i="4" s="1"/>
  <c r="AF14" i="4" s="1"/>
  <c r="AF16" i="4" s="1"/>
  <c r="AF52" i="2"/>
  <c r="AF85" i="2"/>
  <c r="AF79" i="2"/>
  <c r="AF109" i="2"/>
  <c r="AF46" i="2"/>
  <c r="Z20" i="3"/>
  <c r="Z59" i="3" s="1"/>
  <c r="Z70" i="3"/>
  <c r="AF99" i="2"/>
  <c r="AF101" i="2" s="1"/>
  <c r="AE101" i="2"/>
  <c r="AE15" i="2"/>
  <c r="AE70" i="2" s="1"/>
  <c r="AE66" i="2" s="1"/>
  <c r="AE68" i="2" s="1"/>
  <c r="AD108" i="2"/>
  <c r="AD109" i="2" s="1"/>
  <c r="AD111" i="2"/>
  <c r="AD99" i="2"/>
  <c r="AD85" i="2"/>
  <c r="AG31" i="4" l="1"/>
  <c r="AE16" i="4"/>
  <c r="AF53" i="2"/>
  <c r="AF89" i="2"/>
  <c r="AF93" i="2" s="1"/>
  <c r="AF15" i="2"/>
  <c r="AF70" i="2" s="1"/>
  <c r="AE17" i="2"/>
  <c r="AE19" i="2" s="1"/>
  <c r="AE21" i="2" s="1"/>
  <c r="AD5" i="4"/>
  <c r="AC111" i="2"/>
  <c r="AF90" i="2" l="1"/>
  <c r="AF94" i="2" s="1"/>
  <c r="AF17" i="2"/>
  <c r="AF19" i="2" s="1"/>
  <c r="AF21" i="2" s="1"/>
  <c r="AF41" i="2" s="1"/>
  <c r="AF54" i="2" s="1"/>
  <c r="AE41" i="2"/>
  <c r="AE54" i="2" s="1"/>
  <c r="AE71" i="2"/>
  <c r="AD6" i="4"/>
  <c r="AE73" i="2" l="1"/>
  <c r="AE72" i="2"/>
  <c r="Y12" i="3"/>
  <c r="Y18" i="3"/>
  <c r="AD58" i="4"/>
  <c r="AD3" i="4"/>
  <c r="AD44" i="4" s="1"/>
  <c r="AD50" i="4" s="1"/>
  <c r="AD56" i="4" s="1"/>
  <c r="Y69" i="3"/>
  <c r="Y68" i="3"/>
  <c r="Y67" i="3"/>
  <c r="Y66" i="3"/>
  <c r="Y39" i="3"/>
  <c r="Y56" i="3" s="1"/>
  <c r="Y63" i="3" s="1"/>
  <c r="Y34" i="3"/>
  <c r="Y29" i="3"/>
  <c r="AD100" i="2"/>
  <c r="AD101" i="2" s="1"/>
  <c r="AD79" i="2"/>
  <c r="AD69" i="2"/>
  <c r="AD52" i="2"/>
  <c r="AD46" i="2"/>
  <c r="AD29" i="2"/>
  <c r="AD26" i="2"/>
  <c r="AD6" i="2"/>
  <c r="S69" i="3"/>
  <c r="T69" i="3"/>
  <c r="U69" i="3"/>
  <c r="V69" i="3"/>
  <c r="W69" i="3"/>
  <c r="AD13" i="2" l="1"/>
  <c r="AD15" i="2" s="1"/>
  <c r="AD17" i="2" s="1"/>
  <c r="AD40" i="2"/>
  <c r="Y70" i="3"/>
  <c r="Y20" i="3"/>
  <c r="Y59" i="3" s="1"/>
  <c r="AD53" i="2"/>
  <c r="AD61" i="2" l="1"/>
  <c r="AD4" i="4"/>
  <c r="AD7" i="4" s="1"/>
  <c r="AD14" i="4" s="1"/>
  <c r="AD70" i="2"/>
  <c r="X69" i="3"/>
  <c r="AB85" i="2"/>
  <c r="X66" i="3"/>
  <c r="AC99" i="2"/>
  <c r="AC3" i="4"/>
  <c r="AC44" i="4" s="1"/>
  <c r="AC50" i="4" s="1"/>
  <c r="AC56" i="4" s="1"/>
  <c r="AC58" i="4"/>
  <c r="AC6" i="4"/>
  <c r="AC5" i="4"/>
  <c r="X39" i="3"/>
  <c r="X56" i="3" s="1"/>
  <c r="X63" i="3" s="1"/>
  <c r="X68" i="3"/>
  <c r="X67" i="3"/>
  <c r="X34" i="3"/>
  <c r="X29" i="3"/>
  <c r="X18" i="3"/>
  <c r="X12" i="3"/>
  <c r="AC26" i="2"/>
  <c r="AC40" i="2" s="1"/>
  <c r="AC61" i="2" s="1"/>
  <c r="AC76" i="2" s="1"/>
  <c r="AC82" i="2" s="1"/>
  <c r="AC88" i="2" s="1"/>
  <c r="AC98" i="2" s="1"/>
  <c r="AC105" i="2" s="1"/>
  <c r="AC108" i="2"/>
  <c r="AC109" i="2" s="1"/>
  <c r="AC100" i="2"/>
  <c r="AC85" i="2"/>
  <c r="AC79" i="2"/>
  <c r="AC69" i="2"/>
  <c r="AC52" i="2"/>
  <c r="AC46" i="2"/>
  <c r="AC29" i="2"/>
  <c r="AC6" i="2"/>
  <c r="AC13" i="2" s="1"/>
  <c r="O68" i="3"/>
  <c r="P68" i="3"/>
  <c r="Q68" i="3"/>
  <c r="R68" i="3"/>
  <c r="S68" i="3"/>
  <c r="T68" i="3"/>
  <c r="U68" i="3"/>
  <c r="V68" i="3"/>
  <c r="W68" i="3"/>
  <c r="O67" i="3"/>
  <c r="P67" i="3"/>
  <c r="Q67" i="3"/>
  <c r="R67" i="3"/>
  <c r="S67" i="3"/>
  <c r="T67" i="3"/>
  <c r="U67" i="3"/>
  <c r="V67" i="3"/>
  <c r="W67" i="3"/>
  <c r="O66" i="3"/>
  <c r="P66" i="3"/>
  <c r="Q66" i="3"/>
  <c r="R66" i="3"/>
  <c r="S66" i="3"/>
  <c r="T66" i="3"/>
  <c r="U66" i="3"/>
  <c r="V66" i="3"/>
  <c r="W66" i="3"/>
  <c r="AA111" i="2"/>
  <c r="AF112" i="2" s="1"/>
  <c r="AF113" i="2" s="1"/>
  <c r="Z111" i="2"/>
  <c r="AE113" i="2" s="1"/>
  <c r="Y111" i="2"/>
  <c r="X111" i="2"/>
  <c r="AC112" i="2" s="1"/>
  <c r="AC113" i="2" s="1"/>
  <c r="W111" i="2"/>
  <c r="V111" i="2"/>
  <c r="U111" i="2"/>
  <c r="T111" i="2"/>
  <c r="S111" i="2"/>
  <c r="R111" i="2"/>
  <c r="Q111" i="2"/>
  <c r="P111" i="2"/>
  <c r="O111" i="2"/>
  <c r="N111" i="2"/>
  <c r="M111" i="2"/>
  <c r="L111" i="2"/>
  <c r="K111" i="2"/>
  <c r="J111" i="2"/>
  <c r="I111" i="2"/>
  <c r="H111" i="2"/>
  <c r="G111" i="2"/>
  <c r="F111" i="2"/>
  <c r="E111" i="2"/>
  <c r="D111" i="2"/>
  <c r="C111" i="2"/>
  <c r="AA100" i="2"/>
  <c r="Z100" i="2"/>
  <c r="Y100" i="2"/>
  <c r="X100" i="2"/>
  <c r="W100" i="2"/>
  <c r="V100" i="2"/>
  <c r="U100" i="2"/>
  <c r="T100" i="2"/>
  <c r="S100" i="2"/>
  <c r="R100" i="2"/>
  <c r="Q100" i="2"/>
  <c r="P100" i="2"/>
  <c r="O100" i="2"/>
  <c r="N100" i="2"/>
  <c r="M100" i="2"/>
  <c r="L100" i="2"/>
  <c r="K100" i="2"/>
  <c r="J100" i="2"/>
  <c r="I100" i="2"/>
  <c r="H100" i="2"/>
  <c r="G100" i="2"/>
  <c r="F100" i="2"/>
  <c r="E100" i="2"/>
  <c r="D100" i="2"/>
  <c r="C100" i="2"/>
  <c r="AD16" i="4" l="1"/>
  <c r="AD63" i="2"/>
  <c r="AD71" i="2" s="1"/>
  <c r="AD113" i="2"/>
  <c r="AD19" i="2"/>
  <c r="AC4" i="4"/>
  <c r="AC7" i="4" s="1"/>
  <c r="AC14" i="4" s="1"/>
  <c r="AG45" i="4" s="1"/>
  <c r="AD76" i="2"/>
  <c r="X70" i="3"/>
  <c r="X20" i="3"/>
  <c r="X59" i="3" s="1"/>
  <c r="AC101" i="2"/>
  <c r="AC53" i="2"/>
  <c r="AC15" i="2"/>
  <c r="AG47" i="4" l="1"/>
  <c r="AG57" i="4"/>
  <c r="AD66" i="2"/>
  <c r="AD82" i="2"/>
  <c r="AD21" i="2"/>
  <c r="AD72" i="2"/>
  <c r="AD68" i="2"/>
  <c r="AC16" i="4"/>
  <c r="AC70" i="2"/>
  <c r="AC63" i="2" s="1"/>
  <c r="AC17" i="2"/>
  <c r="AC19" i="2" s="1"/>
  <c r="AC21" i="2" s="1"/>
  <c r="AB111" i="2"/>
  <c r="AB100" i="2"/>
  <c r="AB58" i="4"/>
  <c r="AG59" i="4" l="1"/>
  <c r="AD73" i="2"/>
  <c r="AD41" i="2"/>
  <c r="AC41" i="2"/>
  <c r="AC54" i="2" s="1"/>
  <c r="AD88" i="2"/>
  <c r="AC71" i="2"/>
  <c r="AC66" i="2"/>
  <c r="AB6" i="4"/>
  <c r="AB5" i="4"/>
  <c r="W70" i="3"/>
  <c r="W34" i="3"/>
  <c r="W29" i="3"/>
  <c r="W18" i="3"/>
  <c r="W12" i="3"/>
  <c r="AB112" i="2"/>
  <c r="AB113" i="2" s="1"/>
  <c r="AB108" i="2"/>
  <c r="AB109" i="2" s="1"/>
  <c r="AB99" i="2"/>
  <c r="AB101" i="2" s="1"/>
  <c r="AB79" i="2"/>
  <c r="AB69" i="2"/>
  <c r="AF69" i="2" s="1"/>
  <c r="AB52" i="2"/>
  <c r="AB46" i="2"/>
  <c r="AB29" i="2"/>
  <c r="AB6" i="2"/>
  <c r="AB13" i="2" s="1"/>
  <c r="AA45" i="2"/>
  <c r="AB4" i="4" l="1"/>
  <c r="AE89" i="2"/>
  <c r="AD98" i="2"/>
  <c r="AD54" i="2"/>
  <c r="AC68" i="2"/>
  <c r="AC73" i="2" s="1"/>
  <c r="AC72" i="2"/>
  <c r="AB7" i="4"/>
  <c r="AB14" i="4" s="1"/>
  <c r="AE57" i="4" s="1"/>
  <c r="W20" i="3"/>
  <c r="W59" i="3" s="1"/>
  <c r="AB53" i="2"/>
  <c r="Z44" i="3" s="1"/>
  <c r="AB15" i="2"/>
  <c r="AA108" i="2"/>
  <c r="AA109" i="2" s="1"/>
  <c r="AA58" i="4"/>
  <c r="AA15" i="4"/>
  <c r="AA13" i="4"/>
  <c r="AA12" i="4"/>
  <c r="AA11" i="4"/>
  <c r="AA10" i="4"/>
  <c r="AA9" i="4"/>
  <c r="AA8" i="4"/>
  <c r="AA112" i="2"/>
  <c r="AA113" i="2" s="1"/>
  <c r="AA85" i="2"/>
  <c r="AA79" i="2"/>
  <c r="AA67" i="2"/>
  <c r="AA65" i="2"/>
  <c r="AA6" i="4" s="1"/>
  <c r="AA64" i="2"/>
  <c r="AA5" i="4" s="1"/>
  <c r="AA51" i="2"/>
  <c r="AA50" i="2"/>
  <c r="AA49" i="2"/>
  <c r="AA48" i="2"/>
  <c r="AA44" i="2"/>
  <c r="AA46" i="2" s="1"/>
  <c r="AA29" i="2"/>
  <c r="AA23" i="2"/>
  <c r="AA22" i="2"/>
  <c r="AA20" i="2"/>
  <c r="AA18" i="2"/>
  <c r="AA16" i="2"/>
  <c r="AA14" i="2"/>
  <c r="AA12" i="2"/>
  <c r="AA11" i="2"/>
  <c r="AA10" i="2"/>
  <c r="AA9" i="2"/>
  <c r="AA8" i="2"/>
  <c r="AA7" i="2"/>
  <c r="AA5" i="2"/>
  <c r="AA6" i="2"/>
  <c r="Z56" i="4"/>
  <c r="Z50" i="4"/>
  <c r="Z44" i="4"/>
  <c r="Z58" i="4"/>
  <c r="Z6" i="4"/>
  <c r="Z5" i="4"/>
  <c r="AE45" i="4" l="1"/>
  <c r="AE46" i="4"/>
  <c r="AF46" i="4" s="1"/>
  <c r="AE93" i="2"/>
  <c r="X44" i="3"/>
  <c r="W44" i="3"/>
  <c r="Y44" i="3"/>
  <c r="AD105" i="2"/>
  <c r="AB16" i="4"/>
  <c r="AB17" i="2"/>
  <c r="AB19" i="2" s="1"/>
  <c r="AB21" i="2" s="1"/>
  <c r="Z43" i="3" s="1"/>
  <c r="Z52" i="3" s="1"/>
  <c r="AB70" i="2"/>
  <c r="AF63" i="2" s="1"/>
  <c r="AF71" i="2" s="1"/>
  <c r="AA52" i="2"/>
  <c r="AA53" i="2" s="1"/>
  <c r="AA13" i="2"/>
  <c r="AA4" i="4" s="1"/>
  <c r="AA99" i="2"/>
  <c r="AA101" i="2" s="1"/>
  <c r="V70" i="3"/>
  <c r="V58" i="3"/>
  <c r="V34" i="3"/>
  <c r="V29" i="3"/>
  <c r="V18" i="3"/>
  <c r="V12" i="3"/>
  <c r="Z99" i="2"/>
  <c r="Z101" i="2" s="1"/>
  <c r="Z112" i="2"/>
  <c r="Z113" i="2" s="1"/>
  <c r="Z108" i="2"/>
  <c r="Z109" i="2" s="1"/>
  <c r="Z105" i="2"/>
  <c r="Z98" i="2"/>
  <c r="Z88" i="2"/>
  <c r="Z85" i="2"/>
  <c r="Z82" i="2"/>
  <c r="Z79" i="2"/>
  <c r="Z76" i="2"/>
  <c r="Z69" i="2"/>
  <c r="Z61" i="2"/>
  <c r="Z52" i="2"/>
  <c r="Z46" i="2"/>
  <c r="Z40" i="2"/>
  <c r="Z29" i="2"/>
  <c r="Z26" i="2"/>
  <c r="Z6" i="2"/>
  <c r="Z13" i="2" s="1"/>
  <c r="V67" i="2"/>
  <c r="AA7" i="4" l="1"/>
  <c r="AF66" i="2"/>
  <c r="AF72" i="2" s="1"/>
  <c r="AD20" i="4"/>
  <c r="AD25" i="4" s="1"/>
  <c r="AD31" i="4" s="1"/>
  <c r="AD36" i="4" s="1"/>
  <c r="AE20" i="4"/>
  <c r="AF57" i="4"/>
  <c r="AF59" i="4" s="1"/>
  <c r="AE59" i="4"/>
  <c r="AF45" i="4"/>
  <c r="AF47" i="4" s="1"/>
  <c r="AE47" i="4"/>
  <c r="AB41" i="2"/>
  <c r="Y43" i="3"/>
  <c r="X43" i="3"/>
  <c r="AB20" i="4"/>
  <c r="AB25" i="4" s="1"/>
  <c r="AB31" i="4" s="1"/>
  <c r="AB36" i="4" s="1"/>
  <c r="AC20" i="4"/>
  <c r="AC25" i="4" s="1"/>
  <c r="AB66" i="2"/>
  <c r="AB68" i="2" s="1"/>
  <c r="Z4" i="4"/>
  <c r="AD89" i="2"/>
  <c r="AA15" i="2"/>
  <c r="AA89" i="2"/>
  <c r="V36" i="3"/>
  <c r="V20" i="3"/>
  <c r="V59" i="3" s="1"/>
  <c r="V60" i="3" s="1"/>
  <c r="Z53" i="2"/>
  <c r="Z15" i="2"/>
  <c r="AD90" i="2" s="1"/>
  <c r="Z7" i="4" l="1"/>
  <c r="AA14" i="4"/>
  <c r="AF20" i="4"/>
  <c r="AF25" i="4" s="1"/>
  <c r="AE25" i="4"/>
  <c r="AE51" i="4" s="1"/>
  <c r="AB73" i="2"/>
  <c r="AF68" i="2"/>
  <c r="AF73" i="2" s="1"/>
  <c r="AA17" i="2"/>
  <c r="AA19" i="2" s="1"/>
  <c r="AA21" i="2" s="1"/>
  <c r="AA41" i="2" s="1"/>
  <c r="AA54" i="2" s="1"/>
  <c r="AE94" i="2"/>
  <c r="AD94" i="2"/>
  <c r="AD93" i="2"/>
  <c r="AD46" i="4"/>
  <c r="AC31" i="4"/>
  <c r="AC36" i="4" s="1"/>
  <c r="AB54" i="2"/>
  <c r="W43" i="3"/>
  <c r="AB72" i="2"/>
  <c r="AA70" i="2"/>
  <c r="AA90" i="2"/>
  <c r="AA94" i="2" s="1"/>
  <c r="AA93" i="2"/>
  <c r="AA46" i="4"/>
  <c r="Z70" i="2"/>
  <c r="Z63" i="2" s="1"/>
  <c r="Z17" i="2"/>
  <c r="Z19" i="2" s="1"/>
  <c r="Z21" i="2" s="1"/>
  <c r="Z41" i="2" s="1"/>
  <c r="H108" i="2"/>
  <c r="Y58" i="4"/>
  <c r="Y6" i="4"/>
  <c r="Y5" i="4"/>
  <c r="U70" i="3"/>
  <c r="U58" i="3"/>
  <c r="U34" i="3"/>
  <c r="U29" i="3"/>
  <c r="U18" i="3"/>
  <c r="U12" i="3"/>
  <c r="Y99" i="2"/>
  <c r="Y101" i="2" s="1"/>
  <c r="Y105" i="2"/>
  <c r="Y98" i="2"/>
  <c r="Y88" i="2"/>
  <c r="Y82" i="2"/>
  <c r="Y76" i="2"/>
  <c r="Y61" i="2"/>
  <c r="Y40" i="2"/>
  <c r="Y26" i="2"/>
  <c r="Y112" i="2"/>
  <c r="Y108" i="2"/>
  <c r="Y109" i="2" s="1"/>
  <c r="Y85" i="2"/>
  <c r="Y79" i="2"/>
  <c r="Y69" i="2"/>
  <c r="Y52" i="2"/>
  <c r="Y46" i="2"/>
  <c r="Y29" i="2"/>
  <c r="Y6" i="2"/>
  <c r="Y13" i="2" s="1"/>
  <c r="AC89" i="2" s="1"/>
  <c r="U29" i="2"/>
  <c r="AF31" i="4" l="1"/>
  <c r="AF36" i="4" s="1"/>
  <c r="AG19" i="4" s="1"/>
  <c r="AG51" i="4"/>
  <c r="AA45" i="4"/>
  <c r="AA16" i="4"/>
  <c r="AA57" i="4"/>
  <c r="AA47" i="4"/>
  <c r="Z14" i="4"/>
  <c r="AE31" i="4"/>
  <c r="AE36" i="4" s="1"/>
  <c r="AC93" i="2"/>
  <c r="AC46" i="4"/>
  <c r="Z54" i="2"/>
  <c r="Z71" i="2"/>
  <c r="Z66" i="2"/>
  <c r="Y4" i="4"/>
  <c r="Y7" i="4" s="1"/>
  <c r="Y14" i="4" s="1"/>
  <c r="U36" i="3"/>
  <c r="U20" i="3"/>
  <c r="U59" i="3" s="1"/>
  <c r="U60" i="3" s="1"/>
  <c r="Y53" i="2"/>
  <c r="Y15" i="2"/>
  <c r="AC90" i="2" s="1"/>
  <c r="AC94" i="2" s="1"/>
  <c r="V65" i="2"/>
  <c r="AG53" i="4" l="1"/>
  <c r="AG36" i="4"/>
  <c r="AD45" i="4"/>
  <c r="AD47" i="4" s="1"/>
  <c r="Z16" i="4"/>
  <c r="AD57" i="4"/>
  <c r="AD59" i="4" s="1"/>
  <c r="AA20" i="4"/>
  <c r="AA59" i="4"/>
  <c r="AF51" i="4"/>
  <c r="AF53" i="4" s="1"/>
  <c r="AE53" i="4"/>
  <c r="AC45" i="4"/>
  <c r="AC47" i="4" s="1"/>
  <c r="AC57" i="4"/>
  <c r="AC59" i="4" s="1"/>
  <c r="Z72" i="2"/>
  <c r="Z68" i="2"/>
  <c r="Z73" i="2" s="1"/>
  <c r="Y16" i="4"/>
  <c r="Y70" i="2"/>
  <c r="Y63" i="2" s="1"/>
  <c r="Y17" i="2"/>
  <c r="Y19" i="2" s="1"/>
  <c r="Y21" i="2" s="1"/>
  <c r="L67" i="2"/>
  <c r="L65" i="2"/>
  <c r="AG37" i="4" l="1"/>
  <c r="AA25" i="4"/>
  <c r="Y71" i="2"/>
  <c r="Y66" i="2"/>
  <c r="Y68" i="2" s="1"/>
  <c r="Y113" i="2"/>
  <c r="Y41" i="2"/>
  <c r="Q67" i="2"/>
  <c r="Q65" i="2"/>
  <c r="AA51" i="4" l="1"/>
  <c r="AA31" i="4"/>
  <c r="Y54" i="2"/>
  <c r="Y73" i="2"/>
  <c r="Y72" i="2"/>
  <c r="X58" i="4"/>
  <c r="AA53" i="4" l="1"/>
  <c r="AA36" i="4"/>
  <c r="X6" i="4"/>
  <c r="X5" i="4"/>
  <c r="T70" i="3"/>
  <c r="T58" i="3"/>
  <c r="T34" i="3"/>
  <c r="T29" i="3"/>
  <c r="T18" i="3"/>
  <c r="T12" i="3"/>
  <c r="X99" i="2"/>
  <c r="X101" i="2" s="1"/>
  <c r="X85" i="2"/>
  <c r="X79" i="2"/>
  <c r="X69" i="2"/>
  <c r="X52" i="2"/>
  <c r="X46" i="2"/>
  <c r="X6" i="2"/>
  <c r="X13" i="2" s="1"/>
  <c r="AB89" i="2" s="1"/>
  <c r="AA37" i="4" l="1"/>
  <c r="AB46" i="4"/>
  <c r="AB93" i="2"/>
  <c r="X4" i="4"/>
  <c r="X7" i="4" s="1"/>
  <c r="X14" i="4" s="1"/>
  <c r="T36" i="3"/>
  <c r="T20" i="3"/>
  <c r="T59" i="3" s="1"/>
  <c r="T60" i="3" s="1"/>
  <c r="X53" i="2"/>
  <c r="X15" i="2"/>
  <c r="AB90" i="2" s="1"/>
  <c r="AB94" i="2" s="1"/>
  <c r="D6" i="4"/>
  <c r="E6" i="4"/>
  <c r="F6" i="4"/>
  <c r="G6" i="4"/>
  <c r="H6" i="4"/>
  <c r="I6" i="4"/>
  <c r="J6" i="4"/>
  <c r="K6" i="4"/>
  <c r="L6" i="4"/>
  <c r="M6" i="4"/>
  <c r="N6" i="4"/>
  <c r="O6" i="4"/>
  <c r="P6" i="4"/>
  <c r="Q6" i="4"/>
  <c r="R6" i="4"/>
  <c r="S6" i="4"/>
  <c r="T6" i="4"/>
  <c r="U6" i="4"/>
  <c r="V6" i="4"/>
  <c r="W6" i="4"/>
  <c r="C6" i="4"/>
  <c r="AB45" i="4" l="1"/>
  <c r="AB47" i="4" s="1"/>
  <c r="AB57" i="4"/>
  <c r="AB59" i="4" s="1"/>
  <c r="X16" i="4"/>
  <c r="X17" i="2"/>
  <c r="X19" i="2" s="1"/>
  <c r="X70" i="2"/>
  <c r="X63" i="2" s="1"/>
  <c r="X66" i="2" l="1"/>
  <c r="X72" i="2" s="1"/>
  <c r="X71" i="2"/>
  <c r="X29" i="2"/>
  <c r="X21" i="2"/>
  <c r="W5" i="4"/>
  <c r="S70" i="3"/>
  <c r="S58" i="3"/>
  <c r="S34" i="3"/>
  <c r="S29" i="3"/>
  <c r="S18" i="3"/>
  <c r="S12" i="3"/>
  <c r="W99" i="2"/>
  <c r="X68" i="2" l="1"/>
  <c r="X73" i="2" s="1"/>
  <c r="X41" i="2"/>
  <c r="S36" i="3"/>
  <c r="S20" i="3"/>
  <c r="S59" i="3" s="1"/>
  <c r="S60" i="3" s="1"/>
  <c r="X54" i="2" l="1"/>
  <c r="W69" i="2"/>
  <c r="AA69" i="2" s="1"/>
  <c r="W101" i="2"/>
  <c r="W85" i="2"/>
  <c r="W79" i="2"/>
  <c r="W52" i="2"/>
  <c r="W46" i="2"/>
  <c r="W6" i="2"/>
  <c r="W13" i="2" s="1"/>
  <c r="Z89" i="2" s="1"/>
  <c r="Z46" i="4" l="1"/>
  <c r="Z93" i="2"/>
  <c r="W15" i="2"/>
  <c r="W4" i="4"/>
  <c r="W7" i="4" s="1"/>
  <c r="W14" i="4" s="1"/>
  <c r="W53" i="2"/>
  <c r="U99" i="2"/>
  <c r="W17" i="2" l="1"/>
  <c r="W19" i="2" s="1"/>
  <c r="W21" i="2" s="1"/>
  <c r="Z90" i="2"/>
  <c r="Z94" i="2" s="1"/>
  <c r="U44" i="3"/>
  <c r="V44" i="3"/>
  <c r="Z45" i="4"/>
  <c r="Z57" i="4"/>
  <c r="T44" i="3"/>
  <c r="W16" i="4"/>
  <c r="S44" i="3"/>
  <c r="W70" i="2"/>
  <c r="W29" i="2"/>
  <c r="V44" i="2"/>
  <c r="V85" i="2"/>
  <c r="V79" i="2"/>
  <c r="V64" i="2"/>
  <c r="V51" i="2"/>
  <c r="V50" i="2"/>
  <c r="V49" i="2"/>
  <c r="V48" i="2"/>
  <c r="V45" i="2"/>
  <c r="V23" i="2"/>
  <c r="V22" i="2"/>
  <c r="V20" i="2"/>
  <c r="V18" i="2"/>
  <c r="V16" i="2"/>
  <c r="V14" i="2"/>
  <c r="V12" i="2"/>
  <c r="V11" i="2"/>
  <c r="V10" i="2"/>
  <c r="V9" i="2"/>
  <c r="V8" i="2"/>
  <c r="V7" i="2"/>
  <c r="V5" i="2"/>
  <c r="V4" i="2"/>
  <c r="V15" i="4"/>
  <c r="V13" i="4"/>
  <c r="V12" i="4"/>
  <c r="V11" i="4"/>
  <c r="V10" i="4"/>
  <c r="V9" i="4"/>
  <c r="V8" i="4"/>
  <c r="U5" i="4"/>
  <c r="R70" i="3"/>
  <c r="R58" i="3"/>
  <c r="R34" i="3"/>
  <c r="R29" i="3"/>
  <c r="R18" i="3"/>
  <c r="R12" i="3"/>
  <c r="U101" i="2"/>
  <c r="U85" i="2"/>
  <c r="U79" i="2"/>
  <c r="U69" i="2"/>
  <c r="U52" i="2"/>
  <c r="U46" i="2"/>
  <c r="U6" i="2"/>
  <c r="U13" i="2" s="1"/>
  <c r="Y89" i="2" s="1"/>
  <c r="Z47" i="4" l="1"/>
  <c r="Z59" i="4"/>
  <c r="Y46" i="4"/>
  <c r="Y93" i="2"/>
  <c r="Y20" i="4"/>
  <c r="Y25" i="4" s="1"/>
  <c r="AD51" i="4" s="1"/>
  <c r="Z20" i="4"/>
  <c r="U4" i="4"/>
  <c r="U7" i="4" s="1"/>
  <c r="U14" i="4" s="1"/>
  <c r="V5" i="4"/>
  <c r="W41" i="2"/>
  <c r="T43" i="3"/>
  <c r="W20" i="4"/>
  <c r="W25" i="4" s="1"/>
  <c r="AB51" i="4" s="1"/>
  <c r="X20" i="4"/>
  <c r="X25" i="4" s="1"/>
  <c r="W63" i="2"/>
  <c r="AA63" i="2" s="1"/>
  <c r="V99" i="2"/>
  <c r="V101" i="2" s="1"/>
  <c r="V52" i="2"/>
  <c r="V6" i="2"/>
  <c r="V13" i="2" s="1"/>
  <c r="V46" i="2"/>
  <c r="R36" i="3"/>
  <c r="R20" i="3"/>
  <c r="R59" i="3" s="1"/>
  <c r="R60" i="3" s="1"/>
  <c r="U53" i="2"/>
  <c r="U15" i="2"/>
  <c r="Y90" i="2" s="1"/>
  <c r="Y94" i="2" s="1"/>
  <c r="Z25" i="4" l="1"/>
  <c r="X31" i="4"/>
  <c r="X36" i="4" s="1"/>
  <c r="X37" i="4" s="1"/>
  <c r="AC51" i="4"/>
  <c r="AC53" i="4" s="1"/>
  <c r="Y31" i="4"/>
  <c r="Y36" i="4" s="1"/>
  <c r="Y37" i="4" s="1"/>
  <c r="AD53" i="4"/>
  <c r="W31" i="4"/>
  <c r="W36" i="4" s="1"/>
  <c r="W37" i="4" s="1"/>
  <c r="AB53" i="4"/>
  <c r="AA66" i="2"/>
  <c r="AA72" i="2" s="1"/>
  <c r="AA71" i="2"/>
  <c r="V43" i="3"/>
  <c r="U43" i="3"/>
  <c r="Y57" i="4"/>
  <c r="Y59" i="4" s="1"/>
  <c r="Y45" i="4"/>
  <c r="Y47" i="4" s="1"/>
  <c r="W66" i="2"/>
  <c r="W72" i="2" s="1"/>
  <c r="V89" i="2"/>
  <c r="S43" i="3"/>
  <c r="W54" i="2"/>
  <c r="W71" i="2"/>
  <c r="U16" i="4"/>
  <c r="V53" i="2"/>
  <c r="V4" i="4"/>
  <c r="V7" i="4" s="1"/>
  <c r="V14" i="4" s="1"/>
  <c r="V57" i="4" s="1"/>
  <c r="V59" i="4" s="1"/>
  <c r="V15" i="2"/>
  <c r="V17" i="2" s="1"/>
  <c r="V19" i="2" s="1"/>
  <c r="U17" i="2"/>
  <c r="U19" i="2" s="1"/>
  <c r="U70" i="2"/>
  <c r="D46" i="4"/>
  <c r="E46" i="4"/>
  <c r="F46" i="4"/>
  <c r="G46" i="4"/>
  <c r="C46" i="4"/>
  <c r="H5" i="4"/>
  <c r="I5" i="4"/>
  <c r="J5" i="4"/>
  <c r="M5" i="4"/>
  <c r="N5" i="4"/>
  <c r="O5" i="4"/>
  <c r="P5" i="4"/>
  <c r="R5" i="4"/>
  <c r="S5" i="4"/>
  <c r="T5" i="4"/>
  <c r="F5" i="4"/>
  <c r="D5" i="4"/>
  <c r="E5" i="4"/>
  <c r="C5" i="4"/>
  <c r="T85" i="2"/>
  <c r="W112" i="2"/>
  <c r="X112" i="2"/>
  <c r="V112" i="2"/>
  <c r="U112" i="2"/>
  <c r="W108" i="2"/>
  <c r="W109" i="2" s="1"/>
  <c r="X108" i="2"/>
  <c r="X109" i="2" s="1"/>
  <c r="V108" i="2"/>
  <c r="V109" i="2" s="1"/>
  <c r="U108" i="2"/>
  <c r="U109" i="2" s="1"/>
  <c r="T99" i="2"/>
  <c r="T101" i="2" s="1"/>
  <c r="S99" i="2"/>
  <c r="R99" i="2"/>
  <c r="P99" i="2"/>
  <c r="O99" i="2"/>
  <c r="N99" i="2"/>
  <c r="M99" i="2"/>
  <c r="K99" i="2"/>
  <c r="J99" i="2"/>
  <c r="I99" i="2"/>
  <c r="H99" i="2"/>
  <c r="F99" i="2"/>
  <c r="Q64" i="2"/>
  <c r="Q51" i="2"/>
  <c r="Q50" i="2"/>
  <c r="Q49" i="2"/>
  <c r="Q48" i="2"/>
  <c r="L51" i="2"/>
  <c r="L50" i="2"/>
  <c r="L49" i="2"/>
  <c r="L48" i="2"/>
  <c r="Q45" i="2"/>
  <c r="Q44" i="2"/>
  <c r="L45" i="2"/>
  <c r="L44" i="2"/>
  <c r="Z31" i="4" l="1"/>
  <c r="W68" i="2"/>
  <c r="AA68" i="2" s="1"/>
  <c r="AA73" i="2" s="1"/>
  <c r="V46" i="4"/>
  <c r="Q5" i="4"/>
  <c r="V93" i="2"/>
  <c r="U63" i="2"/>
  <c r="U66" i="2" s="1"/>
  <c r="I112" i="2"/>
  <c r="S112" i="2"/>
  <c r="K112" i="2"/>
  <c r="L112" i="2"/>
  <c r="N108" i="2"/>
  <c r="O112" i="2"/>
  <c r="M108" i="2"/>
  <c r="I108" i="2"/>
  <c r="N112" i="2"/>
  <c r="K108" i="2"/>
  <c r="T108" i="2"/>
  <c r="T109" i="2" s="1"/>
  <c r="O108" i="2"/>
  <c r="S108" i="2"/>
  <c r="J112" i="2"/>
  <c r="L108" i="2"/>
  <c r="H112" i="2"/>
  <c r="Q108" i="2"/>
  <c r="R112" i="2"/>
  <c r="P108" i="2"/>
  <c r="Q112" i="2"/>
  <c r="M112" i="2"/>
  <c r="R108" i="2"/>
  <c r="J108" i="2"/>
  <c r="P112" i="2"/>
  <c r="T112" i="2"/>
  <c r="V90" i="2"/>
  <c r="V94" i="2" s="1"/>
  <c r="V70" i="2"/>
  <c r="V16" i="4"/>
  <c r="V20" i="4" s="1"/>
  <c r="V25" i="4" s="1"/>
  <c r="V45" i="4"/>
  <c r="V29" i="2"/>
  <c r="V21" i="2"/>
  <c r="U21" i="2"/>
  <c r="Z36" i="4" l="1"/>
  <c r="U71" i="2"/>
  <c r="V47" i="4"/>
  <c r="W73" i="2"/>
  <c r="U68" i="2"/>
  <c r="U72" i="2"/>
  <c r="V31" i="4"/>
  <c r="V36" i="4" s="1"/>
  <c r="V37" i="4" s="1"/>
  <c r="V51" i="4"/>
  <c r="V53" i="4" s="1"/>
  <c r="V113" i="2"/>
  <c r="V41" i="2"/>
  <c r="V54" i="2" s="1"/>
  <c r="U41" i="2"/>
  <c r="Z37" i="4" l="1"/>
  <c r="U73" i="2"/>
  <c r="U54" i="2"/>
  <c r="Q70" i="3"/>
  <c r="Q58" i="3"/>
  <c r="Q34" i="3"/>
  <c r="Q29" i="3"/>
  <c r="Q18" i="3"/>
  <c r="Q12" i="3"/>
  <c r="Q36" i="3" l="1"/>
  <c r="Q20" i="3"/>
  <c r="Q59" i="3" s="1"/>
  <c r="Q60" i="3" s="1"/>
  <c r="T79" i="2" l="1"/>
  <c r="T52" i="2"/>
  <c r="T46" i="2"/>
  <c r="T69" i="2"/>
  <c r="T6" i="2"/>
  <c r="T13" i="2" s="1"/>
  <c r="Q15" i="4"/>
  <c r="L15" i="4"/>
  <c r="G15" i="4"/>
  <c r="G8" i="4"/>
  <c r="D52" i="2"/>
  <c r="E52" i="2"/>
  <c r="F52" i="2"/>
  <c r="H52" i="2"/>
  <c r="I52" i="2"/>
  <c r="J52" i="2"/>
  <c r="K52" i="2"/>
  <c r="L52" i="2"/>
  <c r="M52" i="2"/>
  <c r="N52" i="2"/>
  <c r="O52" i="2"/>
  <c r="P52" i="2"/>
  <c r="R52" i="2"/>
  <c r="S52" i="2"/>
  <c r="D46" i="2"/>
  <c r="E46" i="2"/>
  <c r="F46" i="2"/>
  <c r="H46" i="2"/>
  <c r="I46" i="2"/>
  <c r="J46" i="2"/>
  <c r="K46" i="2"/>
  <c r="L46" i="2"/>
  <c r="M46" i="2"/>
  <c r="N46" i="2"/>
  <c r="O46" i="2"/>
  <c r="P46" i="2"/>
  <c r="R46" i="2"/>
  <c r="S46" i="2"/>
  <c r="D6" i="2"/>
  <c r="D13" i="2" s="1"/>
  <c r="E6" i="2"/>
  <c r="E13" i="2" s="1"/>
  <c r="F6" i="2"/>
  <c r="F13" i="2" s="1"/>
  <c r="H6" i="2"/>
  <c r="H13" i="2" s="1"/>
  <c r="I6" i="2"/>
  <c r="I13" i="2" s="1"/>
  <c r="J6" i="2"/>
  <c r="J13" i="2" s="1"/>
  <c r="K6" i="2"/>
  <c r="K13" i="2" s="1"/>
  <c r="M6" i="2"/>
  <c r="M13" i="2" s="1"/>
  <c r="N6" i="2"/>
  <c r="N13" i="2" s="1"/>
  <c r="O6" i="2"/>
  <c r="O13" i="2" s="1"/>
  <c r="P6" i="2"/>
  <c r="P13" i="2" s="1"/>
  <c r="R6" i="2"/>
  <c r="R13" i="2" s="1"/>
  <c r="S6" i="2"/>
  <c r="S13" i="2" s="1"/>
  <c r="T4" i="4" l="1"/>
  <c r="T7" i="4" s="1"/>
  <c r="T14" i="4" s="1"/>
  <c r="X89" i="2"/>
  <c r="S53" i="2"/>
  <c r="L53" i="2"/>
  <c r="K53" i="2"/>
  <c r="R53" i="2"/>
  <c r="I53" i="2"/>
  <c r="H53" i="2"/>
  <c r="P53" i="2"/>
  <c r="O53" i="2"/>
  <c r="F53" i="2"/>
  <c r="N53" i="2"/>
  <c r="E53" i="2"/>
  <c r="M53" i="2"/>
  <c r="D53" i="2"/>
  <c r="J53" i="2"/>
  <c r="R15" i="2"/>
  <c r="U89" i="2"/>
  <c r="R4" i="4"/>
  <c r="F15" i="2"/>
  <c r="F4" i="4"/>
  <c r="J89" i="2"/>
  <c r="I15" i="2"/>
  <c r="M89" i="2"/>
  <c r="I4" i="4"/>
  <c r="M15" i="2"/>
  <c r="M4" i="4"/>
  <c r="D15" i="2"/>
  <c r="H89" i="2"/>
  <c r="D4" i="4"/>
  <c r="T15" i="2"/>
  <c r="X90" i="2" s="1"/>
  <c r="X94" i="2" s="1"/>
  <c r="E15" i="2"/>
  <c r="E4" i="4"/>
  <c r="I89" i="2"/>
  <c r="K15" i="2"/>
  <c r="K4" i="4"/>
  <c r="H15" i="2"/>
  <c r="H4" i="4"/>
  <c r="K89" i="2"/>
  <c r="N15" i="2"/>
  <c r="N4" i="4"/>
  <c r="S15" i="2"/>
  <c r="W89" i="2"/>
  <c r="S4" i="4"/>
  <c r="J15" i="2"/>
  <c r="N89" i="2"/>
  <c r="J4" i="4"/>
  <c r="P15" i="2"/>
  <c r="T89" i="2"/>
  <c r="P4" i="4"/>
  <c r="O15" i="2"/>
  <c r="O4" i="4"/>
  <c r="S89" i="2"/>
  <c r="R89" i="2"/>
  <c r="P89" i="2"/>
  <c r="O89" i="2"/>
  <c r="T53" i="2"/>
  <c r="Q13" i="4"/>
  <c r="Q12" i="4"/>
  <c r="Q11" i="4"/>
  <c r="Q10" i="4"/>
  <c r="Q9" i="4"/>
  <c r="Q8" i="4"/>
  <c r="L13" i="4"/>
  <c r="L12" i="4"/>
  <c r="L11" i="4"/>
  <c r="L10" i="4"/>
  <c r="L9" i="4"/>
  <c r="L8" i="4"/>
  <c r="G13" i="4"/>
  <c r="G12" i="4"/>
  <c r="G11" i="4"/>
  <c r="G10" i="4"/>
  <c r="G9" i="4"/>
  <c r="G64" i="2"/>
  <c r="G58" i="2"/>
  <c r="G57" i="2"/>
  <c r="G51" i="2"/>
  <c r="G50" i="2"/>
  <c r="G49" i="2"/>
  <c r="G48" i="2"/>
  <c r="G45" i="2"/>
  <c r="G44" i="2"/>
  <c r="Q23" i="2"/>
  <c r="Q22" i="2"/>
  <c r="Q20" i="2"/>
  <c r="Q18" i="2"/>
  <c r="Q16" i="2"/>
  <c r="Q14" i="2"/>
  <c r="Q12" i="2"/>
  <c r="Q11" i="2"/>
  <c r="Q10" i="2"/>
  <c r="Q9" i="2"/>
  <c r="Q8" i="2"/>
  <c r="Q7" i="2"/>
  <c r="Q5" i="2"/>
  <c r="Q4" i="2"/>
  <c r="L23" i="2"/>
  <c r="L22" i="2"/>
  <c r="L20" i="2"/>
  <c r="L18" i="2"/>
  <c r="L16" i="2"/>
  <c r="L14" i="2"/>
  <c r="L12" i="2"/>
  <c r="L11" i="2"/>
  <c r="L10" i="2"/>
  <c r="L9" i="2"/>
  <c r="L8" i="2"/>
  <c r="L7" i="2"/>
  <c r="L5" i="2"/>
  <c r="L4" i="2"/>
  <c r="G22" i="2"/>
  <c r="G20" i="2"/>
  <c r="G18" i="2"/>
  <c r="G16" i="2"/>
  <c r="G14" i="2"/>
  <c r="G12" i="2"/>
  <c r="G11" i="2"/>
  <c r="G10" i="2"/>
  <c r="G9" i="2"/>
  <c r="G8" i="2"/>
  <c r="G7" i="2"/>
  <c r="G5" i="2"/>
  <c r="G4" i="2"/>
  <c r="P70" i="3"/>
  <c r="P58" i="3"/>
  <c r="P34" i="3"/>
  <c r="P29" i="3"/>
  <c r="P18" i="3"/>
  <c r="P12" i="3"/>
  <c r="S101" i="2"/>
  <c r="S85" i="2"/>
  <c r="S79" i="2"/>
  <c r="S69" i="2"/>
  <c r="R44" i="3" l="1"/>
  <c r="P46" i="4"/>
  <c r="K46" i="4"/>
  <c r="R46" i="4"/>
  <c r="N46" i="4"/>
  <c r="J46" i="4"/>
  <c r="P44" i="3"/>
  <c r="S46" i="4"/>
  <c r="H46" i="4"/>
  <c r="G5" i="4"/>
  <c r="I46" i="4"/>
  <c r="O46" i="4"/>
  <c r="M46" i="4"/>
  <c r="X46" i="4"/>
  <c r="X93" i="2"/>
  <c r="T16" i="4"/>
  <c r="X45" i="4"/>
  <c r="X57" i="4"/>
  <c r="X59" i="4" s="1"/>
  <c r="N44" i="3"/>
  <c r="O44" i="3"/>
  <c r="I44" i="3"/>
  <c r="L6" i="2"/>
  <c r="L13" i="2" s="1"/>
  <c r="K44" i="3"/>
  <c r="L44" i="3"/>
  <c r="G46" i="2"/>
  <c r="J44" i="3"/>
  <c r="M44" i="3"/>
  <c r="G44" i="3"/>
  <c r="H44" i="3"/>
  <c r="Q6" i="2"/>
  <c r="Q13" i="2" s="1"/>
  <c r="N17" i="2"/>
  <c r="N19" i="2" s="1"/>
  <c r="N70" i="2"/>
  <c r="M17" i="2"/>
  <c r="M19" i="2" s="1"/>
  <c r="M70" i="2"/>
  <c r="F17" i="2"/>
  <c r="F19" i="2" s="1"/>
  <c r="J90" i="2"/>
  <c r="G52" i="2"/>
  <c r="J17" i="2"/>
  <c r="J19" i="2" s="1"/>
  <c r="N90" i="2"/>
  <c r="J70" i="2"/>
  <c r="H17" i="2"/>
  <c r="H19" i="2" s="1"/>
  <c r="K90" i="2"/>
  <c r="H70" i="2"/>
  <c r="Q44" i="3"/>
  <c r="T17" i="2"/>
  <c r="T19" i="2" s="1"/>
  <c r="T70" i="2"/>
  <c r="U46" i="4"/>
  <c r="U93" i="2"/>
  <c r="W93" i="2"/>
  <c r="W46" i="4"/>
  <c r="K17" i="2"/>
  <c r="K19" i="2" s="1"/>
  <c r="K70" i="2"/>
  <c r="R17" i="2"/>
  <c r="R19" i="2" s="1"/>
  <c r="U90" i="2"/>
  <c r="U94" i="2" s="1"/>
  <c r="R70" i="2"/>
  <c r="S17" i="2"/>
  <c r="S19" i="2" s="1"/>
  <c r="W90" i="2"/>
  <c r="W94" i="2" s="1"/>
  <c r="S70" i="2"/>
  <c r="S63" i="2" s="1"/>
  <c r="S66" i="2" s="1"/>
  <c r="E17" i="2"/>
  <c r="E19" i="2" s="1"/>
  <c r="I90" i="2"/>
  <c r="G6" i="2"/>
  <c r="G13" i="2" s="1"/>
  <c r="D17" i="2"/>
  <c r="D19" i="2" s="1"/>
  <c r="H90" i="2"/>
  <c r="I17" i="2"/>
  <c r="I19" i="2" s="1"/>
  <c r="M90" i="2"/>
  <c r="I70" i="2"/>
  <c r="T93" i="2"/>
  <c r="T46" i="4"/>
  <c r="P17" i="2"/>
  <c r="P19" i="2" s="1"/>
  <c r="T90" i="2"/>
  <c r="T94" i="2" s="1"/>
  <c r="P70" i="2"/>
  <c r="O17" i="2"/>
  <c r="O19" i="2" s="1"/>
  <c r="R90" i="2"/>
  <c r="P90" i="2"/>
  <c r="O90" i="2"/>
  <c r="S90" i="2"/>
  <c r="O70" i="2"/>
  <c r="P36" i="3"/>
  <c r="P20" i="3"/>
  <c r="P59" i="3" s="1"/>
  <c r="P60" i="3" s="1"/>
  <c r="X47" i="4" l="1"/>
  <c r="Q15" i="2"/>
  <c r="Q70" i="2" s="1"/>
  <c r="S68" i="2"/>
  <c r="S72" i="2"/>
  <c r="T63" i="2"/>
  <c r="T66" i="2" s="1"/>
  <c r="G53" i="2"/>
  <c r="R21" i="2"/>
  <c r="E21" i="2"/>
  <c r="E29" i="2"/>
  <c r="I21" i="2"/>
  <c r="I29" i="2"/>
  <c r="K21" i="2"/>
  <c r="K29" i="2"/>
  <c r="F21" i="2"/>
  <c r="F29" i="2"/>
  <c r="O21" i="2"/>
  <c r="O29" i="2"/>
  <c r="T21" i="2"/>
  <c r="T29" i="2"/>
  <c r="D21" i="2"/>
  <c r="D29" i="2"/>
  <c r="M21" i="2"/>
  <c r="M29" i="2"/>
  <c r="S21" i="2"/>
  <c r="H21" i="2"/>
  <c r="H29" i="2"/>
  <c r="P21" i="2"/>
  <c r="P29" i="2"/>
  <c r="L15" i="2"/>
  <c r="L4" i="4"/>
  <c r="J21" i="2"/>
  <c r="J29" i="2"/>
  <c r="G15" i="2"/>
  <c r="G4" i="4"/>
  <c r="G7" i="4" s="1"/>
  <c r="G14" i="4" s="1"/>
  <c r="G16" i="4" s="1"/>
  <c r="N21" i="2"/>
  <c r="N29" i="2"/>
  <c r="Q4" i="4"/>
  <c r="Q17" i="2"/>
  <c r="Q19" i="2" s="1"/>
  <c r="R79" i="2"/>
  <c r="T41" i="2" l="1"/>
  <c r="T54" i="2" s="1"/>
  <c r="X113" i="2"/>
  <c r="T68" i="2"/>
  <c r="T72" i="2"/>
  <c r="T71" i="2"/>
  <c r="W113" i="2"/>
  <c r="G17" i="2"/>
  <c r="G19" i="2" s="1"/>
  <c r="G70" i="2"/>
  <c r="L17" i="2"/>
  <c r="L19" i="2" s="1"/>
  <c r="L70" i="2"/>
  <c r="U113" i="2"/>
  <c r="T113" i="2"/>
  <c r="Q21" i="2"/>
  <c r="Q29" i="2"/>
  <c r="S29" i="2"/>
  <c r="S71" i="2"/>
  <c r="O70" i="3"/>
  <c r="O58" i="3"/>
  <c r="O34" i="3"/>
  <c r="O29" i="3"/>
  <c r="O18" i="3"/>
  <c r="O12" i="3"/>
  <c r="R101" i="2"/>
  <c r="T73" i="2" l="1"/>
  <c r="G21" i="2"/>
  <c r="G29" i="2"/>
  <c r="L21" i="2"/>
  <c r="L29" i="2"/>
  <c r="O20" i="3"/>
  <c r="O59" i="3" s="1"/>
  <c r="O60" i="3" s="1"/>
  <c r="O36" i="3"/>
  <c r="S41" i="2"/>
  <c r="S73" i="2" l="1"/>
  <c r="S54" i="2"/>
  <c r="R85" i="2"/>
  <c r="N6" i="3" l="1"/>
  <c r="R69" i="2"/>
  <c r="V69" i="2" l="1"/>
  <c r="R63" i="2"/>
  <c r="R66" i="2" s="1"/>
  <c r="R72" i="2" s="1"/>
  <c r="H70" i="3"/>
  <c r="M70" i="3"/>
  <c r="L70" i="3"/>
  <c r="K70" i="3"/>
  <c r="J70" i="3"/>
  <c r="I70" i="3"/>
  <c r="G70" i="3"/>
  <c r="F70" i="3"/>
  <c r="E70" i="3"/>
  <c r="D70" i="3"/>
  <c r="C70" i="3"/>
  <c r="N70" i="3"/>
  <c r="R68" i="2" l="1"/>
  <c r="V68" i="2" s="1"/>
  <c r="V63" i="2"/>
  <c r="R71" i="2"/>
  <c r="R29" i="2"/>
  <c r="V71" i="2" l="1"/>
  <c r="V66" i="2"/>
  <c r="V72" i="2" s="1"/>
  <c r="R41" i="2"/>
  <c r="K64" i="2"/>
  <c r="K5" i="4" l="1"/>
  <c r="L64" i="2"/>
  <c r="R73" i="2"/>
  <c r="V73" i="2"/>
  <c r="Q43" i="3"/>
  <c r="O43" i="3"/>
  <c r="P43" i="3"/>
  <c r="R54" i="2"/>
  <c r="R43" i="3"/>
  <c r="P69" i="2"/>
  <c r="P63" i="2" s="1"/>
  <c r="P66" i="2" s="1"/>
  <c r="L5" i="4" l="1"/>
  <c r="P68" i="2"/>
  <c r="P72" i="2"/>
  <c r="Q79" i="2"/>
  <c r="P85" i="2" l="1"/>
  <c r="Q85" i="2"/>
  <c r="P79" i="2" l="1"/>
  <c r="N58" i="3"/>
  <c r="N34" i="3"/>
  <c r="N29" i="3"/>
  <c r="N18" i="3"/>
  <c r="N12" i="3"/>
  <c r="N20" i="3" l="1"/>
  <c r="N59" i="3" s="1"/>
  <c r="N60" i="3" s="1"/>
  <c r="Q52" i="2"/>
  <c r="Q46" i="2"/>
  <c r="Q99" i="2"/>
  <c r="Q101" i="2" s="1"/>
  <c r="P101" i="2"/>
  <c r="N36" i="3"/>
  <c r="O85" i="2"/>
  <c r="O101" i="2"/>
  <c r="Q53" i="2" l="1"/>
  <c r="Q89" i="2"/>
  <c r="O79" i="2"/>
  <c r="O69" i="2"/>
  <c r="O63" i="2" s="1"/>
  <c r="O66" i="2" s="1"/>
  <c r="M58" i="3"/>
  <c r="M34" i="3"/>
  <c r="M29" i="3"/>
  <c r="M18" i="3"/>
  <c r="M12" i="3"/>
  <c r="O68" i="2" l="1"/>
  <c r="O72" i="2"/>
  <c r="Q93" i="2"/>
  <c r="Q46" i="4"/>
  <c r="P71" i="2"/>
  <c r="S93" i="2"/>
  <c r="M20" i="3"/>
  <c r="M59" i="3" s="1"/>
  <c r="M60" i="3" s="1"/>
  <c r="M36" i="3"/>
  <c r="S94" i="2"/>
  <c r="P73" i="2" l="1"/>
  <c r="P41" i="2"/>
  <c r="P54" i="2" s="1"/>
  <c r="O71" i="2" l="1"/>
  <c r="L58" i="3"/>
  <c r="L34" i="3"/>
  <c r="L29" i="3"/>
  <c r="L18" i="3"/>
  <c r="L12" i="3"/>
  <c r="S109" i="2"/>
  <c r="N101" i="2"/>
  <c r="N85" i="2"/>
  <c r="N79" i="2"/>
  <c r="N69" i="2"/>
  <c r="N63" i="2" s="1"/>
  <c r="N66" i="2" s="1"/>
  <c r="N68" i="2" s="1"/>
  <c r="N72" i="2" l="1"/>
  <c r="S113" i="2"/>
  <c r="R93" i="2"/>
  <c r="O41" i="2"/>
  <c r="L36" i="3"/>
  <c r="L20" i="3"/>
  <c r="R94" i="2"/>
  <c r="O54" i="2" l="1"/>
  <c r="O73" i="2"/>
  <c r="L59" i="3"/>
  <c r="L60" i="3" s="1"/>
  <c r="N71" i="2" l="1"/>
  <c r="N41" i="2" l="1"/>
  <c r="N54" i="2" s="1"/>
  <c r="M101" i="2"/>
  <c r="N73" i="2" l="1"/>
  <c r="M85" i="2"/>
  <c r="R113" i="2" l="1"/>
  <c r="R109" i="2"/>
  <c r="K58" i="3" l="1"/>
  <c r="K34" i="3"/>
  <c r="K29" i="3"/>
  <c r="K36" i="3" s="1"/>
  <c r="K18" i="3"/>
  <c r="K12" i="3"/>
  <c r="M79" i="2"/>
  <c r="M69" i="2"/>
  <c r="Q69" i="2" l="1"/>
  <c r="M63" i="2"/>
  <c r="M66" i="2" s="1"/>
  <c r="M72" i="2" s="1"/>
  <c r="K20" i="3"/>
  <c r="Q66" i="2" l="1"/>
  <c r="Q72" i="2" s="1"/>
  <c r="M68" i="2"/>
  <c r="Q68" i="2" s="1"/>
  <c r="Q63" i="2"/>
  <c r="K59" i="3"/>
  <c r="K60" i="3" s="1"/>
  <c r="P93" i="2" l="1"/>
  <c r="Q109" i="2" l="1"/>
  <c r="P109" i="2"/>
  <c r="J58" i="3"/>
  <c r="J34" i="3"/>
  <c r="J29" i="3"/>
  <c r="J18" i="3"/>
  <c r="J12" i="3"/>
  <c r="Q90" i="2" l="1"/>
  <c r="Q94" i="2" s="1"/>
  <c r="P94" i="2"/>
  <c r="Q71" i="2"/>
  <c r="J36" i="3"/>
  <c r="M71" i="2"/>
  <c r="J20" i="3"/>
  <c r="L79" i="2"/>
  <c r="K85" i="2"/>
  <c r="L85" i="2"/>
  <c r="K79" i="2"/>
  <c r="K69" i="2"/>
  <c r="K63" i="2" s="1"/>
  <c r="K66" i="2" s="1"/>
  <c r="K101" i="2"/>
  <c r="K68" i="2" l="1"/>
  <c r="K72" i="2"/>
  <c r="M41" i="2"/>
  <c r="K7" i="4"/>
  <c r="K14" i="4" s="1"/>
  <c r="K16" i="4" s="1"/>
  <c r="J59" i="3"/>
  <c r="J60" i="3" s="1"/>
  <c r="L99" i="2"/>
  <c r="L101" i="2" s="1"/>
  <c r="L43" i="3" l="1"/>
  <c r="K43" i="3"/>
  <c r="M54" i="2"/>
  <c r="M43" i="3"/>
  <c r="N43" i="3"/>
  <c r="M73" i="2"/>
  <c r="Q73" i="2"/>
  <c r="Q41" i="2"/>
  <c r="Q54" i="2" s="1"/>
  <c r="Q113" i="2"/>
  <c r="P113" i="2"/>
  <c r="O94" i="2"/>
  <c r="O93" i="2"/>
  <c r="L89" i="2"/>
  <c r="I58" i="3"/>
  <c r="I34" i="3"/>
  <c r="I29" i="3"/>
  <c r="I18" i="3"/>
  <c r="I12" i="3"/>
  <c r="O109" i="2"/>
  <c r="J101" i="2"/>
  <c r="J85" i="2"/>
  <c r="J69" i="2"/>
  <c r="J63" i="2" s="1"/>
  <c r="J66" i="2" s="1"/>
  <c r="J79" i="2"/>
  <c r="L46" i="4" l="1"/>
  <c r="J68" i="2"/>
  <c r="J72" i="2"/>
  <c r="I7" i="4"/>
  <c r="I14" i="4" s="1"/>
  <c r="M7" i="4"/>
  <c r="N93" i="2"/>
  <c r="J7" i="4"/>
  <c r="J14" i="4" s="1"/>
  <c r="K71" i="2"/>
  <c r="L93" i="2"/>
  <c r="I36" i="3"/>
  <c r="I20" i="3"/>
  <c r="N94" i="2"/>
  <c r="I79" i="2"/>
  <c r="J16" i="4" l="1"/>
  <c r="I16" i="4"/>
  <c r="M14" i="4"/>
  <c r="L7" i="4"/>
  <c r="L14" i="4" s="1"/>
  <c r="L16" i="4" s="1"/>
  <c r="O113" i="2"/>
  <c r="M93" i="2"/>
  <c r="K41" i="2"/>
  <c r="K54" i="2" s="1"/>
  <c r="I59" i="3"/>
  <c r="I60" i="3" s="1"/>
  <c r="K73" i="2" l="1"/>
  <c r="M16" i="4"/>
  <c r="M57" i="4"/>
  <c r="M45" i="4"/>
  <c r="L20" i="4"/>
  <c r="L25" i="4" s="1"/>
  <c r="L57" i="4"/>
  <c r="L59" i="4" s="1"/>
  <c r="L45" i="4"/>
  <c r="J71" i="2"/>
  <c r="I101" i="2"/>
  <c r="I85" i="2"/>
  <c r="L31" i="4" l="1"/>
  <c r="L36" i="4" s="1"/>
  <c r="L37" i="4" s="1"/>
  <c r="M20" i="4"/>
  <c r="M25" i="4" s="1"/>
  <c r="M31" i="4" s="1"/>
  <c r="M36" i="4" s="1"/>
  <c r="M37" i="4" s="1"/>
  <c r="L51" i="4"/>
  <c r="L53" i="4" s="1"/>
  <c r="J41" i="2"/>
  <c r="J54" i="2" s="1"/>
  <c r="J73" i="2" l="1"/>
  <c r="I69" i="2"/>
  <c r="I63" i="2" s="1"/>
  <c r="I66" i="2" s="1"/>
  <c r="I68" i="2" l="1"/>
  <c r="I72" i="2"/>
  <c r="H58" i="3"/>
  <c r="N113" i="2"/>
  <c r="N109" i="2"/>
  <c r="H34" i="3"/>
  <c r="H29" i="3"/>
  <c r="H18" i="3"/>
  <c r="H12" i="3"/>
  <c r="H36" i="3" l="1"/>
  <c r="H20" i="3"/>
  <c r="M94" i="2" l="1"/>
  <c r="H59" i="3"/>
  <c r="H60" i="3" s="1"/>
  <c r="I71" i="2" l="1"/>
  <c r="M109" i="2"/>
  <c r="M113" i="2" l="1"/>
  <c r="I41" i="2"/>
  <c r="I54" i="2" s="1"/>
  <c r="G58" i="3"/>
  <c r="G34" i="3"/>
  <c r="G29" i="3"/>
  <c r="G18" i="3"/>
  <c r="G12" i="3"/>
  <c r="H85" i="2"/>
  <c r="H79" i="2"/>
  <c r="H69" i="2"/>
  <c r="L69" i="2" l="1"/>
  <c r="H63" i="2"/>
  <c r="H66" i="2" s="1"/>
  <c r="H72" i="2" s="1"/>
  <c r="I73" i="2"/>
  <c r="H7" i="4"/>
  <c r="H14" i="4" s="1"/>
  <c r="N7" i="4"/>
  <c r="K93" i="2"/>
  <c r="G36" i="3"/>
  <c r="G20" i="3"/>
  <c r="L66" i="2" l="1"/>
  <c r="L72" i="2" s="1"/>
  <c r="H68" i="2"/>
  <c r="L68" i="2" s="1"/>
  <c r="L63" i="2"/>
  <c r="H16" i="4"/>
  <c r="K57" i="4"/>
  <c r="K59" i="4" s="1"/>
  <c r="K45" i="4"/>
  <c r="N14" i="4"/>
  <c r="K94" i="2"/>
  <c r="G59" i="3"/>
  <c r="G60" i="3" s="1"/>
  <c r="L109" i="2"/>
  <c r="L71" i="2" l="1"/>
  <c r="N16" i="4"/>
  <c r="N20" i="4" s="1"/>
  <c r="N57" i="4"/>
  <c r="N45" i="4"/>
  <c r="H20" i="4"/>
  <c r="H25" i="4" s="1"/>
  <c r="J20" i="4"/>
  <c r="J25" i="4" s="1"/>
  <c r="J31" i="4" s="1"/>
  <c r="J36" i="4" s="1"/>
  <c r="J37" i="4" s="1"/>
  <c r="K20" i="4"/>
  <c r="K25" i="4" s="1"/>
  <c r="K31" i="4" s="1"/>
  <c r="K36" i="4" s="1"/>
  <c r="K37" i="4" s="1"/>
  <c r="I20" i="4"/>
  <c r="I25" i="4" s="1"/>
  <c r="I31" i="4" s="1"/>
  <c r="I36" i="4" s="1"/>
  <c r="I37" i="4" s="1"/>
  <c r="L90" i="2"/>
  <c r="L94" i="2" s="1"/>
  <c r="H71" i="2"/>
  <c r="F29" i="3"/>
  <c r="H31" i="4" l="1"/>
  <c r="H36" i="4" s="1"/>
  <c r="H37" i="4" s="1"/>
  <c r="M51" i="4"/>
  <c r="K109" i="2"/>
  <c r="F58" i="3"/>
  <c r="F34" i="3"/>
  <c r="F36" i="3" s="1"/>
  <c r="F18" i="3"/>
  <c r="F12" i="3"/>
  <c r="G85" i="2"/>
  <c r="F85" i="2"/>
  <c r="G79" i="2"/>
  <c r="F79" i="2"/>
  <c r="F69" i="2"/>
  <c r="F101" i="2"/>
  <c r="P7" i="4"/>
  <c r="P14" i="4" s="1"/>
  <c r="H73" i="2" l="1"/>
  <c r="L73" i="2"/>
  <c r="P16" i="4"/>
  <c r="H41" i="2"/>
  <c r="L41" i="2"/>
  <c r="L54" i="2" s="1"/>
  <c r="L113" i="2"/>
  <c r="F7" i="4"/>
  <c r="F14" i="4" s="1"/>
  <c r="K113" i="2"/>
  <c r="J94" i="2"/>
  <c r="G99" i="2"/>
  <c r="G101" i="2" s="1"/>
  <c r="H101" i="2"/>
  <c r="F20" i="3"/>
  <c r="F16" i="4" l="1"/>
  <c r="J45" i="4"/>
  <c r="J57" i="4"/>
  <c r="J59" i="4" s="1"/>
  <c r="G43" i="3"/>
  <c r="J43" i="3"/>
  <c r="I43" i="3"/>
  <c r="H43" i="3"/>
  <c r="H54" i="2"/>
  <c r="L47" i="4"/>
  <c r="K47" i="4"/>
  <c r="O7" i="4"/>
  <c r="O14" i="4" s="1"/>
  <c r="J93" i="2"/>
  <c r="F70" i="2"/>
  <c r="F59" i="3"/>
  <c r="F60" i="3" s="1"/>
  <c r="E58" i="3"/>
  <c r="F63" i="2" l="1"/>
  <c r="F66" i="2" s="1"/>
  <c r="O16" i="4"/>
  <c r="P57" i="4"/>
  <c r="O57" i="4"/>
  <c r="O45" i="4"/>
  <c r="P45" i="4"/>
  <c r="N25" i="4"/>
  <c r="J47" i="4"/>
  <c r="G94" i="2"/>
  <c r="G93" i="2"/>
  <c r="E34" i="3"/>
  <c r="E29" i="3"/>
  <c r="E18" i="3"/>
  <c r="E12" i="3"/>
  <c r="J109" i="2"/>
  <c r="E101" i="2"/>
  <c r="E85" i="2"/>
  <c r="E79" i="2"/>
  <c r="E69" i="2"/>
  <c r="F68" i="2" l="1"/>
  <c r="F72" i="2"/>
  <c r="F71" i="2"/>
  <c r="N31" i="4"/>
  <c r="N36" i="4" s="1"/>
  <c r="N37" i="4" s="1"/>
  <c r="N51" i="4"/>
  <c r="P20" i="4"/>
  <c r="O20" i="4"/>
  <c r="G57" i="4"/>
  <c r="G59" i="4" s="1"/>
  <c r="G45" i="4"/>
  <c r="G47" i="4" s="1"/>
  <c r="G20" i="4"/>
  <c r="G25" i="4" s="1"/>
  <c r="Q7" i="4"/>
  <c r="Q14" i="4" s="1"/>
  <c r="Q16" i="4" s="1"/>
  <c r="E7" i="4"/>
  <c r="J113" i="2"/>
  <c r="F41" i="2"/>
  <c r="F54" i="2" s="1"/>
  <c r="E36" i="3"/>
  <c r="I94" i="2"/>
  <c r="E20" i="3"/>
  <c r="D79" i="2"/>
  <c r="F73" i="2" l="1"/>
  <c r="G51" i="4"/>
  <c r="G53" i="4" s="1"/>
  <c r="E14" i="4"/>
  <c r="M59" i="4"/>
  <c r="Q57" i="4"/>
  <c r="Q59" i="4" s="1"/>
  <c r="Q20" i="4"/>
  <c r="Q25" i="4" s="1"/>
  <c r="Q45" i="4"/>
  <c r="Q47" i="4" s="1"/>
  <c r="G31" i="4"/>
  <c r="G36" i="4" s="1"/>
  <c r="G37" i="4" s="1"/>
  <c r="O25" i="4"/>
  <c r="I93" i="2"/>
  <c r="G41" i="2"/>
  <c r="G54" i="2" s="1"/>
  <c r="E70" i="2"/>
  <c r="E59" i="3"/>
  <c r="E60" i="3" s="1"/>
  <c r="E63" i="2" l="1"/>
  <c r="E66" i="2" s="1"/>
  <c r="E16" i="4"/>
  <c r="I45" i="4"/>
  <c r="I47" i="4" s="1"/>
  <c r="I57" i="4"/>
  <c r="I59" i="4" s="1"/>
  <c r="O31" i="4"/>
  <c r="O36" i="4" s="1"/>
  <c r="O37" i="4" s="1"/>
  <c r="O51" i="4"/>
  <c r="Q31" i="4"/>
  <c r="Q36" i="4" s="1"/>
  <c r="Q37" i="4" s="1"/>
  <c r="Q51" i="4"/>
  <c r="Q53" i="4" s="1"/>
  <c r="M47" i="4"/>
  <c r="D58" i="3"/>
  <c r="I109" i="2"/>
  <c r="D34" i="3"/>
  <c r="D29" i="3"/>
  <c r="D18" i="3"/>
  <c r="D12" i="3"/>
  <c r="D101" i="2"/>
  <c r="D85" i="2"/>
  <c r="D69" i="2"/>
  <c r="R7" i="4"/>
  <c r="R14" i="4" s="1"/>
  <c r="E68" i="2" l="1"/>
  <c r="E72" i="2"/>
  <c r="E71" i="2"/>
  <c r="R16" i="4"/>
  <c r="R57" i="4"/>
  <c r="R59" i="4" s="1"/>
  <c r="R45" i="4"/>
  <c r="R47" i="4" s="1"/>
  <c r="N59" i="4"/>
  <c r="D7" i="4"/>
  <c r="D14" i="4" s="1"/>
  <c r="I113" i="2"/>
  <c r="H94" i="2"/>
  <c r="E41" i="2"/>
  <c r="E54" i="2" s="1"/>
  <c r="D36" i="3"/>
  <c r="D20" i="3"/>
  <c r="E73" i="2" l="1"/>
  <c r="D16" i="4"/>
  <c r="H45" i="4"/>
  <c r="H57" i="4"/>
  <c r="H59" i="4" s="1"/>
  <c r="R20" i="4"/>
  <c r="R25" i="4" s="1"/>
  <c r="N47" i="4"/>
  <c r="H93" i="2"/>
  <c r="D59" i="3"/>
  <c r="D60" i="3" s="1"/>
  <c r="D70" i="2"/>
  <c r="D63" i="2" s="1"/>
  <c r="D66" i="2" s="1"/>
  <c r="D72" i="2" s="1"/>
  <c r="R31" i="4" l="1"/>
  <c r="R36" i="4" s="1"/>
  <c r="R37" i="4" s="1"/>
  <c r="W51" i="4"/>
  <c r="W53" i="4" s="1"/>
  <c r="R51" i="4"/>
  <c r="R53" i="4" s="1"/>
  <c r="H47" i="4"/>
  <c r="M53" i="4"/>
  <c r="O53" i="4"/>
  <c r="H109" i="2"/>
  <c r="D68" i="2" l="1"/>
  <c r="D71" i="2"/>
  <c r="H113" i="2"/>
  <c r="D41" i="2"/>
  <c r="D54" i="2" s="1"/>
  <c r="D73" i="2" l="1"/>
  <c r="C58" i="3"/>
  <c r="G109" i="2" l="1"/>
  <c r="F109" i="2"/>
  <c r="D109" i="2"/>
  <c r="E109" i="2" l="1"/>
  <c r="C46" i="2" l="1"/>
  <c r="C109" i="2" l="1"/>
  <c r="C101" i="2"/>
  <c r="C85" i="2"/>
  <c r="C69" i="2"/>
  <c r="G69" i="2" s="1"/>
  <c r="C79" i="2"/>
  <c r="C52" i="2"/>
  <c r="C6" i="2"/>
  <c r="C13" i="2" s="1"/>
  <c r="C34" i="3"/>
  <c r="C29" i="3"/>
  <c r="C18" i="3"/>
  <c r="C12" i="3"/>
  <c r="C4" i="4" l="1"/>
  <c r="C7" i="4" s="1"/>
  <c r="C14" i="4" s="1"/>
  <c r="S7" i="4"/>
  <c r="S14" i="4" s="1"/>
  <c r="C15" i="2"/>
  <c r="C53" i="2"/>
  <c r="C20" i="3"/>
  <c r="C36" i="3"/>
  <c r="D44" i="3" l="1"/>
  <c r="C44" i="3"/>
  <c r="E44" i="3"/>
  <c r="F44" i="3"/>
  <c r="F45" i="4"/>
  <c r="F47" i="4" s="1"/>
  <c r="F57" i="4"/>
  <c r="F59" i="4" s="1"/>
  <c r="S16" i="4"/>
  <c r="W45" i="4"/>
  <c r="W47" i="4" s="1"/>
  <c r="W57" i="4"/>
  <c r="W59" i="4" s="1"/>
  <c r="U45" i="4"/>
  <c r="U47" i="4" s="1"/>
  <c r="S57" i="4"/>
  <c r="S59" i="4" s="1"/>
  <c r="U57" i="4"/>
  <c r="U59" i="4" s="1"/>
  <c r="T57" i="4"/>
  <c r="T59" i="4" s="1"/>
  <c r="S45" i="4"/>
  <c r="S47" i="4" s="1"/>
  <c r="T45" i="4"/>
  <c r="T47" i="4" s="1"/>
  <c r="C16" i="4"/>
  <c r="O47" i="4"/>
  <c r="O59" i="4"/>
  <c r="P47" i="4"/>
  <c r="P59" i="4"/>
  <c r="F93" i="2"/>
  <c r="F94" i="2"/>
  <c r="C17" i="2"/>
  <c r="C19" i="2" s="1"/>
  <c r="C21" i="2" s="1"/>
  <c r="C70" i="2"/>
  <c r="C63" i="2" s="1"/>
  <c r="C59" i="3"/>
  <c r="C60" i="3" s="1"/>
  <c r="G63" i="2" l="1"/>
  <c r="C66" i="2"/>
  <c r="C72" i="2" s="1"/>
  <c r="F20" i="4"/>
  <c r="F25" i="4" s="1"/>
  <c r="F51" i="4" s="1"/>
  <c r="F53" i="4" s="1"/>
  <c r="E20" i="4"/>
  <c r="E25" i="4" s="1"/>
  <c r="E31" i="4" s="1"/>
  <c r="E36" i="4" s="1"/>
  <c r="E37" i="4" s="1"/>
  <c r="D20" i="4"/>
  <c r="D25" i="4" s="1"/>
  <c r="I51" i="4" s="1"/>
  <c r="I53" i="4" s="1"/>
  <c r="C20" i="4"/>
  <c r="C25" i="4" s="1"/>
  <c r="C29" i="2"/>
  <c r="U20" i="4"/>
  <c r="U25" i="4" s="1"/>
  <c r="Z51" i="4" s="1"/>
  <c r="T20" i="4"/>
  <c r="T25" i="4" s="1"/>
  <c r="Y51" i="4" s="1"/>
  <c r="S20" i="4"/>
  <c r="S25" i="4" s="1"/>
  <c r="X51" i="4" s="1"/>
  <c r="X53" i="4" s="1"/>
  <c r="P25" i="4"/>
  <c r="Z53" i="4" l="1"/>
  <c r="T31" i="4"/>
  <c r="T36" i="4" s="1"/>
  <c r="T37" i="4" s="1"/>
  <c r="Y53" i="4"/>
  <c r="C68" i="2"/>
  <c r="G68" i="2" s="1"/>
  <c r="G66" i="2"/>
  <c r="G72" i="2" s="1"/>
  <c r="D31" i="4"/>
  <c r="D36" i="4" s="1"/>
  <c r="D37" i="4" s="1"/>
  <c r="F31" i="4"/>
  <c r="F36" i="4" s="1"/>
  <c r="F37" i="4" s="1"/>
  <c r="C31" i="4"/>
  <c r="C36" i="4" s="1"/>
  <c r="C37" i="4" s="1"/>
  <c r="H51" i="4"/>
  <c r="H53" i="4" s="1"/>
  <c r="J51" i="4"/>
  <c r="J53" i="4" s="1"/>
  <c r="K51" i="4"/>
  <c r="K53" i="4" s="1"/>
  <c r="S51" i="4"/>
  <c r="S53" i="4" s="1"/>
  <c r="S31" i="4"/>
  <c r="S36" i="4" s="1"/>
  <c r="S37" i="4" s="1"/>
  <c r="U51" i="4"/>
  <c r="U53" i="4" s="1"/>
  <c r="U31" i="4"/>
  <c r="U36" i="4" s="1"/>
  <c r="U37" i="4" s="1"/>
  <c r="T51" i="4"/>
  <c r="T53" i="4" s="1"/>
  <c r="P51" i="4"/>
  <c r="P53" i="4" s="1"/>
  <c r="N53" i="4"/>
  <c r="P31" i="4"/>
  <c r="P36" i="4" s="1"/>
  <c r="P37" i="4" s="1"/>
  <c r="C41" i="2"/>
  <c r="G113" i="2"/>
  <c r="F113" i="2"/>
  <c r="E43" i="3" l="1"/>
  <c r="D43" i="3"/>
  <c r="C43" i="3"/>
  <c r="F43" i="3"/>
  <c r="C54" i="2"/>
  <c r="E47" i="4" l="1"/>
  <c r="E59" i="4"/>
  <c r="E93" i="2"/>
  <c r="E94" i="2"/>
  <c r="E53" i="4" l="1"/>
  <c r="E113" i="2" l="1"/>
  <c r="D59" i="4" l="1"/>
  <c r="D53" i="4" l="1"/>
  <c r="D94" i="2"/>
  <c r="D93" i="2"/>
  <c r="D47" i="4"/>
  <c r="D113" i="2" l="1"/>
  <c r="C59" i="4" l="1"/>
  <c r="C53" i="4"/>
  <c r="C93" i="2"/>
  <c r="C94" i="2"/>
  <c r="C47" i="4" l="1"/>
  <c r="C113" i="2" l="1"/>
  <c r="F52" i="3" l="1"/>
  <c r="D52" i="3"/>
  <c r="E52" i="3"/>
  <c r="C52" i="3"/>
  <c r="I41" i="3" l="1"/>
  <c r="J41" i="3"/>
  <c r="H41" i="3"/>
  <c r="G41" i="3"/>
  <c r="C71" i="2"/>
  <c r="G71" i="2" l="1"/>
  <c r="C73" i="2" l="1"/>
  <c r="G73" i="2"/>
  <c r="H52" i="3"/>
  <c r="I52" i="3"/>
  <c r="J52" i="3" s="1"/>
  <c r="G52" i="3"/>
  <c r="K41" i="3" l="1"/>
  <c r="K52" i="3" s="1"/>
  <c r="N41" i="3"/>
  <c r="N52" i="3" s="1"/>
  <c r="M41" i="3"/>
  <c r="L41" i="3"/>
  <c r="L52" i="3" s="1"/>
  <c r="R41" i="3" l="1"/>
  <c r="R52" i="3" s="1"/>
  <c r="O41" i="3"/>
  <c r="O52" i="3" s="1"/>
  <c r="P41" i="3"/>
  <c r="P52" i="3" s="1"/>
  <c r="M52" i="3" s="1"/>
  <c r="Q41" i="3"/>
  <c r="Q52" i="3" s="1"/>
  <c r="T41" i="3" l="1"/>
  <c r="U41" i="3"/>
  <c r="U52" i="3" s="1"/>
  <c r="V41" i="3"/>
  <c r="V52" i="3" s="1"/>
  <c r="W41" i="3" s="1"/>
  <c r="S41" i="3"/>
  <c r="S52" i="3" s="1"/>
  <c r="T52" i="3"/>
  <c r="W52" i="3" l="1"/>
  <c r="W23" i="3" s="1"/>
  <c r="W58" i="3" s="1"/>
  <c r="W60" i="3" s="1"/>
  <c r="X41" i="3"/>
  <c r="AB37" i="4"/>
  <c r="W36" i="3" l="1"/>
  <c r="X52" i="3"/>
  <c r="X23" i="3" s="1"/>
  <c r="Y41" i="3"/>
  <c r="Y52" i="3" l="1"/>
  <c r="Y23" i="3" s="1"/>
  <c r="Z41" i="3"/>
  <c r="Z23" i="3" s="1"/>
  <c r="Y36" i="3"/>
  <c r="Y58" i="3"/>
  <c r="Y60" i="3" s="1"/>
  <c r="AD37" i="4"/>
  <c r="X58" i="3"/>
  <c r="X60" i="3" s="1"/>
  <c r="X36" i="3"/>
  <c r="AC37" i="4"/>
  <c r="AF37" i="4" l="1"/>
  <c r="AE37" i="4"/>
  <c r="Z36" i="3"/>
  <c r="Z58" i="3"/>
  <c r="Z60" i="3" s="1"/>
</calcChain>
</file>

<file path=xl/sharedStrings.xml><?xml version="1.0" encoding="utf-8"?>
<sst xmlns="http://schemas.openxmlformats.org/spreadsheetml/2006/main" count="772" uniqueCount="328">
  <si>
    <t>Årliga och kvartalsvisa resultaträkningar</t>
  </si>
  <si>
    <t>RR</t>
  </si>
  <si>
    <t>SEK</t>
  </si>
  <si>
    <t>Årliga och kvartalsvisa balansräkningar</t>
  </si>
  <si>
    <t>BR</t>
  </si>
  <si>
    <t>Årliga och kvartalsvisa kassaflödesrapporter</t>
  </si>
  <si>
    <t>Nyckeltal</t>
  </si>
  <si>
    <t>Definitioner</t>
  </si>
  <si>
    <t>Medelantal anställda</t>
  </si>
  <si>
    <t>Sysselsatt kapital</t>
  </si>
  <si>
    <t>Kassakonvertering</t>
  </si>
  <si>
    <t>Skuldsättningsgrad, %</t>
  </si>
  <si>
    <t>Avvecklade verksamheter</t>
  </si>
  <si>
    <t>Direktavkastning</t>
  </si>
  <si>
    <t>Resultat per aktie</t>
  </si>
  <si>
    <t>EBIT</t>
  </si>
  <si>
    <t>EBIT exklusive jämförelsestörande poster</t>
  </si>
  <si>
    <t xml:space="preserve">EBIT-marginal exklusive jämförelsestörande poster, % </t>
  </si>
  <si>
    <t xml:space="preserve">EBITA </t>
  </si>
  <si>
    <t>EBITDA</t>
  </si>
  <si>
    <t>EBITDA/Räntenetto</t>
  </si>
  <si>
    <t>Soliditet</t>
  </si>
  <si>
    <t>Kapitalandelsmetoden</t>
  </si>
  <si>
    <t>Fritt kassaflöde</t>
  </si>
  <si>
    <t>Fritt kassaflöde per aktie</t>
  </si>
  <si>
    <r>
      <t>Jämförelsestörande poster</t>
    </r>
    <r>
      <rPr>
        <sz val="8.5"/>
        <color theme="1"/>
        <rFont val="Arial"/>
        <family val="2"/>
      </rPr>
      <t xml:space="preserve"> </t>
    </r>
  </si>
  <si>
    <t>Nettoskuld</t>
  </si>
  <si>
    <t xml:space="preserve">Nettoskuld/EBITDA </t>
  </si>
  <si>
    <t>Antal anställda vid årets slut</t>
  </si>
  <si>
    <t>Operativt kassaflöde</t>
  </si>
  <si>
    <t>Operativt kassaflöde per aktie</t>
  </si>
  <si>
    <t>Organisk tillväxt</t>
  </si>
  <si>
    <t>P/E tal</t>
  </si>
  <si>
    <t>Kapitalomsättningshastighet</t>
  </si>
  <si>
    <t>Avkastning på sysselsatt kapital</t>
  </si>
  <si>
    <t>Resultaträkningar</t>
  </si>
  <si>
    <t>Resultaträkningar, MSEK</t>
  </si>
  <si>
    <t>Nettoomsättning</t>
  </si>
  <si>
    <t>Kostnad för sålda varor</t>
  </si>
  <si>
    <t>Bruttoresultat</t>
  </si>
  <si>
    <t>Försäljningskostnader</t>
  </si>
  <si>
    <t>Administrationskostnader</t>
  </si>
  <si>
    <t>Forsknings- och utvecklingskostnader</t>
  </si>
  <si>
    <t>Andel i intressebolag</t>
  </si>
  <si>
    <t>EBIT, exklusive jämförelsestörande poster</t>
  </si>
  <si>
    <t>Jämförelsestörande poster</t>
  </si>
  <si>
    <t>Resultat före skatt</t>
  </si>
  <si>
    <t>Skatt</t>
  </si>
  <si>
    <t>Resultat efter skatt</t>
  </si>
  <si>
    <t xml:space="preserve"> - moderbolagets aktieägare</t>
  </si>
  <si>
    <t>Marknadspris, SEK</t>
  </si>
  <si>
    <t>Resultat per aktie, R12</t>
  </si>
  <si>
    <t>EBIT, exklusive  jämförelsestörande poster, R12</t>
  </si>
  <si>
    <t>Genomsnittligt sysselsatt kapital, exklusive jämförelsestörande poster, R12</t>
  </si>
  <si>
    <t>Avkastning på sysselsatt kapital, %, exklusive jämförelsestörande poster</t>
  </si>
  <si>
    <t>Genomsnittligt sysselsatt kapital och EBIT är kalkylerat R12. Detta används när avkastning på sysselsatt kapital i % kalkyleras.</t>
  </si>
  <si>
    <t>Nettoomsättning, R12</t>
  </si>
  <si>
    <t>Genomsnittligt sysselsatt kapital, R12</t>
  </si>
  <si>
    <t>Genomsnittligt sysselsatt kapital och nettoomsättning är kalkylerat genom använding av R12. Detta används vid kalkylering av kapitalomsättningshastigheten.</t>
  </si>
  <si>
    <t>Balansräkningar</t>
  </si>
  <si>
    <t>Balansräkningar, MSEK</t>
  </si>
  <si>
    <t>31 dec</t>
  </si>
  <si>
    <t>30 sep</t>
  </si>
  <si>
    <t>30 jun</t>
  </si>
  <si>
    <t>31 mar</t>
  </si>
  <si>
    <t>Materiella anläggningstillgångar</t>
  </si>
  <si>
    <t>Goodwill</t>
  </si>
  <si>
    <t>Övriga immateriella anläggningstillgångar</t>
  </si>
  <si>
    <t>Andelar i intressebolag</t>
  </si>
  <si>
    <t>Finansiella anläggningstillgångar</t>
  </si>
  <si>
    <t>Uppskjutna skattefordringar</t>
  </si>
  <si>
    <t>Varulager</t>
  </si>
  <si>
    <t>Kortfristiga rörelsefordringar</t>
  </si>
  <si>
    <t>Aktuell skattefordran</t>
  </si>
  <si>
    <t>Räntebärande fordringar</t>
  </si>
  <si>
    <t>Likvida medel</t>
  </si>
  <si>
    <t>Summa omsättningstillgångar</t>
  </si>
  <si>
    <t>Summa eget kapital</t>
  </si>
  <si>
    <t>Räntebärande långfristiga skulder</t>
  </si>
  <si>
    <t>Övriga långfristiga skulder</t>
  </si>
  <si>
    <t>Pensionsförpliktelser</t>
  </si>
  <si>
    <t>Övriga avsättningar</t>
  </si>
  <si>
    <t>Uppskjutna skatteskulder</t>
  </si>
  <si>
    <t>Summa långfristiga skulder</t>
  </si>
  <si>
    <t>Räntebärande kortfristiga skulder</t>
  </si>
  <si>
    <t>Aktuell skatteskuld</t>
  </si>
  <si>
    <t>Övriga kortfristiga skulder</t>
  </si>
  <si>
    <t>Summa kortfristiga skulder</t>
  </si>
  <si>
    <t>Summa eget kapital och skulder</t>
  </si>
  <si>
    <t>Specifikation till förändring av eget kapital, MSEK</t>
  </si>
  <si>
    <t>Soliditet, %</t>
  </si>
  <si>
    <t>Specifikation av sysselsatt kapital, MSEK</t>
  </si>
  <si>
    <t>Kassaflödesrapporter</t>
  </si>
  <si>
    <t xml:space="preserve">Kassaflödesrapporter, MSEK </t>
  </si>
  <si>
    <t>Försäljning av anläggningstillgångar</t>
  </si>
  <si>
    <t>Utdelning från intressebolag</t>
  </si>
  <si>
    <t>Kassaflödeseffekt från jämförelsestörande poster</t>
  </si>
  <si>
    <t>Finansiella poster</t>
  </si>
  <si>
    <t>Skatter</t>
  </si>
  <si>
    <t>Förvärv</t>
  </si>
  <si>
    <t>Utdelning - moderbolagets aktieägare</t>
  </si>
  <si>
    <t>Operativt kassaflöde, R12</t>
  </si>
  <si>
    <t>EBIT, exklusive jämförelsestörande poster, R12</t>
  </si>
  <si>
    <t>Fritt kassaflöde, R12</t>
  </si>
  <si>
    <t>Ingående balans</t>
  </si>
  <si>
    <t>Utgående balans</t>
  </si>
  <si>
    <t>EBIT_</t>
  </si>
  <si>
    <t>Valuta</t>
  </si>
  <si>
    <t>Förklaring</t>
  </si>
  <si>
    <t>Kassaflöde</t>
  </si>
  <si>
    <t xml:space="preserve"> - innehav utan bestämmande inflytande</t>
  </si>
  <si>
    <t>Summa anläggningstillgångar</t>
  </si>
  <si>
    <t>¹²³</t>
  </si>
  <si>
    <t>EBITDA, inklusive jämförelsestörande poster, R12</t>
  </si>
  <si>
    <t>Räntabilitet på eget kapital</t>
  </si>
  <si>
    <t>Totalt eget kapital</t>
  </si>
  <si>
    <t>Genomsnittligt eget kapital</t>
  </si>
  <si>
    <t>Räntabilitet på eget kapital, exklusive jämförelsestörande poster</t>
  </si>
  <si>
    <t>Övrigt totalresultat</t>
  </si>
  <si>
    <t>Rapporter över totalresultat, MSEK</t>
  </si>
  <si>
    <t>Poster som inte ska återföras i resultaträkningen</t>
  </si>
  <si>
    <t>Inkomstskatt hänförlig till komponenter i övrigt totalresultat</t>
  </si>
  <si>
    <t>Summa</t>
  </si>
  <si>
    <t>Poster som senare kan återföras i resultaträkningen</t>
  </si>
  <si>
    <t>Kassaflödessäkringar</t>
  </si>
  <si>
    <t>Säkring av nettoinvestering</t>
  </si>
  <si>
    <r>
      <t>Omräkningsdifferenser</t>
    </r>
    <r>
      <rPr>
        <vertAlign val="superscript"/>
        <sz val="10"/>
        <rFont val="Calibri"/>
        <family val="2"/>
        <scheme val="minor"/>
      </rPr>
      <t/>
    </r>
  </si>
  <si>
    <r>
      <t>Inkomstskatt hänförlig till komponenter i övrigt totalresultat</t>
    </r>
    <r>
      <rPr>
        <vertAlign val="superscript"/>
        <sz val="10"/>
        <rFont val="Calibri"/>
        <family val="2"/>
        <scheme val="minor"/>
      </rPr>
      <t/>
    </r>
  </si>
  <si>
    <t>Övrigt totalresultat efter skatt</t>
  </si>
  <si>
    <t>Summa totalresultat</t>
  </si>
  <si>
    <t>Motivering</t>
  </si>
  <si>
    <t>N/A</t>
  </si>
  <si>
    <t>Rörelseresultatet från den ordinarie operativa verksamheten exklusive effekter av avskrivningar på materiella- och immateriella tillgångar. Värdefull eftersom nyckeltalet indikerar den underliggande kassagenererande förmågan.</t>
  </si>
  <si>
    <t>Operativt kassaflöde i förhållande till EBIT.</t>
  </si>
  <si>
    <t>Utdelning i förhållande till börskurs.</t>
  </si>
  <si>
    <t>EBIT exklusive jämförelsestörande poster i förhållande till nettoomsättningen.</t>
  </si>
  <si>
    <t>EBITDA dividerat med räntenetto (ränteintäkter minus räntekostnader).</t>
  </si>
  <si>
    <t>Summa eget kapital i förhållande till balansomslutningen.</t>
  </si>
  <si>
    <t>Intressebolag och samägda bolag redovisas enligt kapitalandelsmetoden, vilket innebär att den initiala andelen förändras för att avspegla koncernens andel av bolagets resultat samt för eventuella utdelningar.</t>
  </si>
  <si>
    <t>Operativt kassaflöde reducerat med kassaflöde avseende finansiella poster, skatter och kassaflödeseffekt av omstruktureringsåtgärder.</t>
  </si>
  <si>
    <t>Fritt kassaflöde i förhållande till genomsnittligt antal utestående aktier.</t>
  </si>
  <si>
    <t>Inkluderar inhyrd och visstidsanställd personal.</t>
  </si>
  <si>
    <t>Operativt kassaflöde i förhållande till genomsnittligt antal utestående aktier.</t>
  </si>
  <si>
    <t>Börskurs i förhållande till resultat per aktie.</t>
  </si>
  <si>
    <t>Proformaberäkningar inkluderar summan av de 12 senaste månaderna från koncernens konsolidering med tillägg för förvärv och avyttringar för att spegla nuvarande kvarvarande verksamheter.</t>
  </si>
  <si>
    <t>Nettoomsättning i förhållande till genomsnittligt sysselsatt kapital.</t>
  </si>
  <si>
    <t>Representerar det kassaflöde genererat av koncernen som kan användas till nya förvärv eller utdelningar till aktieägarna. Detta belopp sätts sedan i relation till antalet aktier.</t>
  </si>
  <si>
    <t>Visar hur skuldsatt koncernen är över tid.</t>
  </si>
  <si>
    <t>Visar koncernens kassagenerering från den operativa verksamheten.</t>
  </si>
  <si>
    <t>Visar ett mått på finansiell risk som ställer räntebärande skulder i förhållande till underliggande kassagenerering.</t>
  </si>
  <si>
    <t>Visar underliggande tillväxt från volymförändringar, pris och försäljningsmix.</t>
  </si>
  <si>
    <t>Visar hur effektivt det sysselsatta kapitalet används.</t>
  </si>
  <si>
    <t>Visar hur väl det operativa kapitalet används för att skapa lönsam tillväxt.</t>
  </si>
  <si>
    <t>Visar koncernens förmåga att skapa avkastning på eget kapital.</t>
  </si>
  <si>
    <t xml:space="preserve">Jämför Trelleborgs aktiekurs i förhållande till koncernens resultat per aktie. </t>
  </si>
  <si>
    <t>Andel av resultat efter skatt, hänförligt till moderbolagets aktieägar, i förhållande till genomsnittligt antal utestående aktier.</t>
  </si>
  <si>
    <t>Rörelseintäkter och rörelsekostnader inklusive jämförelsestörande poster.</t>
  </si>
  <si>
    <t>Rörelseintäkter och rörelsekostnader exklusive jämförelsestörande poster.</t>
  </si>
  <si>
    <t>Summan av styrelsen godkända omstruktureringskostnader samt andra engångsposter av större karaktär. Det är engångsposter som inte är direkt hänförliga till koncernens ordinarie verksamhet.</t>
  </si>
  <si>
    <t>Nettoskuld i förhållande till EBITDA beräknat på rullande 12 månader.</t>
  </si>
  <si>
    <t>Nyckeltalet visar hur antalet anställda i koncernen växer över tid.</t>
  </si>
  <si>
    <t>Visar koncernens kassagenerering från den operativa verksamheten i förhållande till genomsnittligt antal aktier.</t>
  </si>
  <si>
    <t>Andel av resultat efter skatt beräknat på rullande 12, hänförligt till moderbolagets aktieägare i förhållande till genomsnittligt eget kapital, exklusive innehav utan bestämmande inflytande och uttryckt i procent.</t>
  </si>
  <si>
    <t>Räntenetto, R12</t>
  </si>
  <si>
    <t>Kv1 2019</t>
  </si>
  <si>
    <t>Exklusive jämförelsestörande poster:</t>
  </si>
  <si>
    <t>EBITA</t>
  </si>
  <si>
    <t>Eget kapital</t>
  </si>
  <si>
    <t>Resultat efter skatt i avvecklade verksamheter</t>
  </si>
  <si>
    <t>Kvarvarande verksamheter</t>
  </si>
  <si>
    <t>Engångspost hänförlig till IFRS16</t>
  </si>
  <si>
    <t>Ej kassaflödespåverkande poster</t>
  </si>
  <si>
    <t>Amortering leasingskuld</t>
  </si>
  <si>
    <t>Räntebärande skulder med avdrag för räntebärande tillgångar och likvida medel.</t>
  </si>
  <si>
    <t>EBITDA exklusive ej kassaflödespåverkande poster, investeringar, sålda anläggningstillgångar, amortering av leasingskuld och förändringar i rörelsekapital. I nyckeltalet exkluderas kassaflöde från jämförelsestörande poster.</t>
  </si>
  <si>
    <t>Balansomslutning minus räntebärande fordringar och icke räntebärande rörelseskulder samt exklusive skattefordringar och skatteskulder.</t>
  </si>
  <si>
    <t>Kv2 2019</t>
  </si>
  <si>
    <t xml:space="preserve">Nettoskuld, MSEK </t>
  </si>
  <si>
    <t>Avyttrade verksamheter</t>
  </si>
  <si>
    <t>Nettokassaflöde</t>
  </si>
  <si>
    <t>Finansiell skuld för utdelning - moderbolagets aktieägare</t>
  </si>
  <si>
    <t>Valutakursdifferenser</t>
  </si>
  <si>
    <t>6M 2019</t>
  </si>
  <si>
    <t>Kv3 2019</t>
  </si>
  <si>
    <t>9M 2019</t>
  </si>
  <si>
    <t>Kv4 2019</t>
  </si>
  <si>
    <t>12M 2019</t>
  </si>
  <si>
    <t>Innehav utan bestämmande inflytande</t>
  </si>
  <si>
    <t>Kv1 2020</t>
  </si>
  <si>
    <t>Nettoskulden inkluderar från och med 2019 leasingskuld enligt IFRS 16 samt pensionsskuld.</t>
  </si>
  <si>
    <t>Finansiella intäkter och kostnader</t>
  </si>
  <si>
    <t>Avskrivningar/nedskrivningar på materiella tillgångar</t>
  </si>
  <si>
    <t>Avskrivningar/nedskrivningar på immateriella tillgångar</t>
  </si>
  <si>
    <r>
      <t xml:space="preserve">Resultat per aktie, SEK </t>
    </r>
    <r>
      <rPr>
        <b/>
        <sz val="8"/>
        <color rgb="FFFFFFFF"/>
        <rFont val="Calibri"/>
        <family val="2"/>
      </rPr>
      <t>¹</t>
    </r>
  </si>
  <si>
    <t>Kv2 2020</t>
  </si>
  <si>
    <t>6M 2020</t>
  </si>
  <si>
    <t>Kv3 2020</t>
  </si>
  <si>
    <t>9M 2020</t>
  </si>
  <si>
    <t>Omvärdering av nettopensionsförpliktelsen</t>
  </si>
  <si>
    <t>Kv4 2020</t>
  </si>
  <si>
    <t>12M 2020</t>
  </si>
  <si>
    <t>Summa totalresultat hänförligt till:</t>
  </si>
  <si>
    <t>Kv1 2021</t>
  </si>
  <si>
    <t>Kvarvarande verksamheter, exklusive jämförelsestörande poster</t>
  </si>
  <si>
    <t>Operativt kassaflöde, avvecklade verksamheter</t>
  </si>
  <si>
    <t>Kapitaltillskott intressebolag</t>
  </si>
  <si>
    <t>Operativt kassaflöde, koncernen</t>
  </si>
  <si>
    <t>Tillgångar som innehas för försäljning</t>
  </si>
  <si>
    <t xml:space="preserve">Skulder som innehas för försäljning </t>
  </si>
  <si>
    <t>Kapitalomsättningshastighet, ggr, kvarvarande verksamheter</t>
  </si>
  <si>
    <t>Räntabilitet på eget kapital, koncernen</t>
  </si>
  <si>
    <t>Kv2 2021</t>
  </si>
  <si>
    <t>6M 2021</t>
  </si>
  <si>
    <t>Strukturell tillväxt</t>
  </si>
  <si>
    <t>Valutakursförändringar på nettoomsättning</t>
  </si>
  <si>
    <t>Visar påverkan på nettoomsättning från förvärv och avyttringar.</t>
  </si>
  <si>
    <t>Kv3 2021</t>
  </si>
  <si>
    <t>9M 2021</t>
  </si>
  <si>
    <t>Kv4 2021</t>
  </si>
  <si>
    <t>12M 2021</t>
  </si>
  <si>
    <t>Koncernen, exklusive jämförelsestörande poster</t>
  </si>
  <si>
    <t>Trelleborg</t>
  </si>
  <si>
    <t>Kv1 2022</t>
  </si>
  <si>
    <t>Övriga rörelseintäkter</t>
  </si>
  <si>
    <t>Övriga rörelsekostnader</t>
  </si>
  <si>
    <t>Per bokslutsdag</t>
  </si>
  <si>
    <t>Genomsnittligt sysselsatt kapital, inklusive jämförelsestörande poster, R12</t>
  </si>
  <si>
    <t>Avkastning på sysselsatt kapital, %,  inklusive jämförelsestörande poster</t>
  </si>
  <si>
    <t>EBIT, inklusive jämförelsestörande poster, R12</t>
  </si>
  <si>
    <t>Rörelsekapital</t>
  </si>
  <si>
    <t>Nyttjanderättstillgångar</t>
  </si>
  <si>
    <t>Immateriella tillgångar</t>
  </si>
  <si>
    <t>Andelar i samägda-/intressebolag</t>
  </si>
  <si>
    <t>Återköp egna aktier</t>
  </si>
  <si>
    <t>EBITDA/Räntenetto, koncernen</t>
  </si>
  <si>
    <t>Kv2 2022</t>
  </si>
  <si>
    <t>6M 2022</t>
  </si>
  <si>
    <t>Effekter av IAS29¹</t>
  </si>
  <si>
    <t>Kv3 2022</t>
  </si>
  <si>
    <t>9M 2022</t>
  </si>
  <si>
    <t>Kv4 2022</t>
  </si>
  <si>
    <t>12M 2022</t>
  </si>
  <si>
    <t>Visar valutapåverkan på nettoomsättning mellan olika perioder.</t>
  </si>
  <si>
    <t>Kv1 2023</t>
  </si>
  <si>
    <t xml:space="preserve">Investeringar i anläggningstillgångar </t>
  </si>
  <si>
    <t>Kv2 2023</t>
  </si>
  <si>
    <t>30 Jun</t>
  </si>
  <si>
    <t>Avskrivningar på övervärden kopplade till förvärv</t>
  </si>
  <si>
    <t>Makulering egna aktier</t>
  </si>
  <si>
    <t>Fondemission</t>
  </si>
  <si>
    <t>6M 2023</t>
  </si>
  <si>
    <r>
      <t xml:space="preserve">Nettoskuld/EBITDA </t>
    </r>
    <r>
      <rPr>
        <vertAlign val="superscript"/>
        <sz val="8"/>
        <rFont val="FranklinGothic"/>
      </rPr>
      <t>2</t>
    </r>
  </si>
  <si>
    <r>
      <t xml:space="preserve">Leasingskuld enligt IFRS16 </t>
    </r>
    <r>
      <rPr>
        <vertAlign val="superscript"/>
        <sz val="8"/>
        <rFont val="Arial"/>
        <family val="2"/>
      </rPr>
      <t>1</t>
    </r>
  </si>
  <si>
    <r>
      <t xml:space="preserve">Pensionsskuld </t>
    </r>
    <r>
      <rPr>
        <vertAlign val="superscript"/>
        <sz val="8"/>
        <rFont val="Arial"/>
        <family val="2"/>
      </rPr>
      <t>1</t>
    </r>
  </si>
  <si>
    <t>Kv3 2023</t>
  </si>
  <si>
    <t>30 Sep</t>
  </si>
  <si>
    <t>9M 2023</t>
  </si>
  <si>
    <t>Kv4 2023</t>
  </si>
  <si>
    <t>12M 2023</t>
  </si>
  <si>
    <t>Kv1 2024</t>
  </si>
  <si>
    <t>Kv2 2024</t>
  </si>
  <si>
    <t>6M 2024</t>
  </si>
  <si>
    <t>EBITDA marginal exklusive jämförelsestörande poster, %</t>
  </si>
  <si>
    <t>EBITA marginal exklusive jämförelsestörande poster, %</t>
  </si>
  <si>
    <t>EBIT marginal exklusive jämförelsestörande poster, %</t>
  </si>
  <si>
    <t>Balansomslutning</t>
  </si>
  <si>
    <t xml:space="preserve">Förändring rörelsekapital </t>
  </si>
  <si>
    <t>Operativt kassaflöde, kvarvarande verksamheter</t>
  </si>
  <si>
    <t>Genomsnittligt antal utestående aktier, R12</t>
  </si>
  <si>
    <t>Kv3 2024</t>
  </si>
  <si>
    <t>9M 2024</t>
  </si>
  <si>
    <t>Aktierelaterat incitamentprogram</t>
  </si>
  <si>
    <t>Ett mått av finansiell risk, som jämför koncernens eget kapital i förhållande till koncernens totala balansomslutning.</t>
  </si>
  <si>
    <t>Ett skuld- och lönsamhetsförhållande som visar koncernens möjlighet att genom den egna resultatgenereringen betala ränta på utestående skulder.</t>
  </si>
  <si>
    <t>Visar rörelseresultatet från den ordinarie operativa verksamheten.</t>
  </si>
  <si>
    <t>Visar utvecklingen av resultatet i förhållande till antal aktier i bolaget.</t>
  </si>
  <si>
    <t>Visar relationen mellan erhållen utdelning och börskurs.</t>
  </si>
  <si>
    <t>Visar den finansiella risken och visar hur koncernen är finansierad.</t>
  </si>
  <si>
    <t>Visar hur stor del av kapitalet som är knutet till den operativa verksamheten.</t>
  </si>
  <si>
    <t>Visar hur effektivt bolaget är på att skapa ett reellt kassaflöde ur sin verksamhet.</t>
  </si>
  <si>
    <t>Visar rörelseresultatet från den ordinarie operativa verksamheten exklusive avskrivningar på immateriella tillgångar från förvärv.</t>
  </si>
  <si>
    <t>Räntabilitet på eget kapital, totalt koncernen</t>
  </si>
  <si>
    <t>EBIT, inklusive jämförelsestörande poster</t>
  </si>
  <si>
    <t>EBIT specifikation, kvarvarande verksamheter, MSEK</t>
  </si>
  <si>
    <t>Avkastning på sysselsatt kapital, kvarvarande verksamheter</t>
  </si>
  <si>
    <t xml:space="preserve">Nettoskuld koncernen, ingående balans </t>
  </si>
  <si>
    <t>Nettoskuld koncernen, utgående balans</t>
  </si>
  <si>
    <t>Trelleborg använder sig av ett antal alternativa nyckeltal kopplade till finansiell ställning som bland annat avkastning på eget kapital samt sysselsatt kapital, nettoskuld, skuldsättningsgrad och soliditet. Koncernen anser att nyckeltalen är användbara för användarna av de finansiella rapporterna som ett komplement för att bedöma möjlighet till utdelning, att genomföra strategiska investeringar samt att bedöma koncernens möjligheter att leva upp till finansiella åtaganden. Vidare använder Trelleborg kassaflödesmåtten operativt kassaflöde samt fritt kassaflöde för att ge en indikation på vilka medel som verksamheten genererar för att kunna genomföra strategiska investeringar, göra amorteringar och ge avkastning till aktieägarna. Trelleborg använder även de operativa resultatmåtten EBITDA, EBITA och EBIT exklusive jämförelsestörande poster, vilka är mått som koncernen betraktar som relevanta för investerare som vill förstå resultatgenereringen före jämförelsestörande poster. Koncernen definierar nyckeltalen enligt nedan.</t>
  </si>
  <si>
    <t>Kv4 2024</t>
  </si>
  <si>
    <t>12M 2024</t>
  </si>
  <si>
    <t>Resultat efter skatt, kvarvarande verksamheter</t>
  </si>
  <si>
    <t>Resultat efter skatt, koncernen</t>
  </si>
  <si>
    <t>Koncernen</t>
  </si>
  <si>
    <t>Antal Aktier</t>
  </si>
  <si>
    <r>
      <rPr>
        <sz val="7"/>
        <rFont val="Calibri"/>
        <family val="2"/>
      </rPr>
      <t>¹</t>
    </r>
    <r>
      <rPr>
        <sz val="7"/>
        <rFont val="Arial"/>
        <family val="2"/>
      </rPr>
      <t xml:space="preserve"> Inga utspädningseffekter förekommer.</t>
    </r>
  </si>
  <si>
    <t>I genomsnitt</t>
  </si>
  <si>
    <t>Resultat efter skatt exklusive jämförelsestörande poster, R12</t>
  </si>
  <si>
    <t>Resultat efter skatt, totalt koncernen, R12</t>
  </si>
  <si>
    <t>Summa tillgångar</t>
  </si>
  <si>
    <t>Årets resultat</t>
  </si>
  <si>
    <t>Utdelning</t>
  </si>
  <si>
    <r>
      <rPr>
        <sz val="7"/>
        <rFont val="Calibri"/>
        <family val="2"/>
      </rPr>
      <t>¹</t>
    </r>
    <r>
      <rPr>
        <sz val="7"/>
        <rFont val="Arial"/>
        <family val="2"/>
      </rPr>
      <t xml:space="preserve"> Avser hyperinflationsredovisning för verksamhet i Turkiet.</t>
    </r>
  </si>
  <si>
    <r>
      <rPr>
        <vertAlign val="superscript"/>
        <sz val="7"/>
        <rFont val="Calibri"/>
        <family val="2"/>
      </rPr>
      <t>1</t>
    </r>
    <r>
      <rPr>
        <sz val="7"/>
        <rFont val="Calibri"/>
        <family val="2"/>
      </rPr>
      <t xml:space="preserve"> Avser icke kassaflödespåverkande poster</t>
    </r>
  </si>
  <si>
    <r>
      <rPr>
        <vertAlign val="superscript"/>
        <sz val="7"/>
        <rFont val="Arial"/>
        <family val="2"/>
      </rPr>
      <t xml:space="preserve">2  </t>
    </r>
    <r>
      <rPr>
        <sz val="7"/>
        <rFont val="Arial"/>
        <family val="2"/>
      </rPr>
      <t>EBITDA inklusive jämförelsestörande poster.</t>
    </r>
  </si>
  <si>
    <t>Genomsnittligt antal anställda under året baserat på arbetad tid. Exklusive inhyrd personal.</t>
  </si>
  <si>
    <t>Kostnaden hänförlig till antalet anställda, representerar en stor del av koncernens kostnader. Utvecklingen av medelantalet anställda är därför ett viktigt nyckeltal att använda vid jämförelsen av antalet anställda och kostnader.</t>
  </si>
  <si>
    <t>Representerar det kassaflöde genererat av koncernen som kan användas till nya förvärv eller utdelningar till aktieägarna.</t>
  </si>
  <si>
    <t>Visar separat rapportering av jämförelsestörande poster mellan perioder. Ger en ökad förståelse för koncernens underliggande operativa resultat.</t>
  </si>
  <si>
    <t>Den omsättningstillväxt i jämförbara valutakurser som genereras av egen kraft och i befintlig struktur. Ett förvärv eller en försäljning inkluderas endast i beräkningen av organisk tillväxt om det ingår med lika antal månader i nuvarande period och motsvarande period föregående år. I annat fall inkluderas det i beräkningen för strukturell tillväxt.</t>
  </si>
  <si>
    <t>varav i eget förvar</t>
  </si>
  <si>
    <t>EBITA exklusive jämförelsestörande poster</t>
  </si>
  <si>
    <t>EBITA exklusive jämförelsestörande poster i förhållande till nettoomsättning.</t>
  </si>
  <si>
    <t>-</t>
  </si>
  <si>
    <t>EBITA-marginal exklusive jämförelsestörande poster, %</t>
  </si>
  <si>
    <t>EBITDA exklusive jämförelsestörande poster</t>
  </si>
  <si>
    <t>Resultatet för avvecklade verksamheter redovisas netto i koncernens resultaträkningar på raden "Resultat efter skatt i avvecklade verksamheter".</t>
  </si>
  <si>
    <t>Proforma</t>
  </si>
  <si>
    <t>Rörelseresultat exklusive jämförelsestörande poster samt avskrivningar och nedskrivningar på immateriella anläggningstillgångar från förvärv.</t>
  </si>
  <si>
    <t>Rörelseresultat inklusive jämförelsestörande poster, exklusive avskrivningar och nedskrivningar på immateriella anläggningstillgångar från förvärv.</t>
  </si>
  <si>
    <t>Rörelseresultat inklusive jämförelsestörande poster, exklusive avskrivningar och nedskrivningar på materiella (inklusive nyttjanderättstillgångar) och immateriella anläggningstillgångar.</t>
  </si>
  <si>
    <t>Rörelseresultat exklusive jämförelsestörande poster, exklusive avskrivningar samt nedskrivningar på materiella (inklusive nyttjanderättstillgångar) och immateriella anläggningstillgångar.</t>
  </si>
  <si>
    <t>Vid beräkning av organisk tillväxt används jämförbara valutor. Varje period omräknas till aktuella kurser, då uppkommer valutakursdifferenser på nettoomsättningen i jämförelse mellan två perioder.</t>
  </si>
  <si>
    <t>Vid beräkning av organisk tillväxt exkluderas strukturell påverkan, såsom förvärv respektive avyttringar, i de jämförbara perioderna. Denna effekt särredovisas som strukturell tillväxt.</t>
  </si>
  <si>
    <t>EBIT i förhållande till genomsnittligt sysselsatt kapital beräknat på rullande 12.</t>
  </si>
  <si>
    <t>EBITDA exklusive jämförelsestörande poster och andelar av resultatet i samägda bolag/intressebolag, i förhållande till nettoomsättning.</t>
  </si>
  <si>
    <t>Nettoskuld i förhållande till summa eget kapital.</t>
  </si>
  <si>
    <t>Kv1 2025</t>
  </si>
  <si>
    <t>Flik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</si>
</sst>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 #,##0.00\ _k_r_-;_-* &quot;-&quot;??\ _k_r_-;_-@_-"/>
    <numFmt numFmtId="165" formatCode="0;\-0;&quot;-&quot;;"/>
    <numFmt numFmtId="166" formatCode="0.0"/>
    <numFmt numFmtId="167" formatCode="0.0%"/>
    <numFmt numFmtId="168" formatCode="#,##0.0"/>
    <numFmt numFmtId="169" formatCode="0.00;\-0.00;&quot;-&quot;"/>
    <numFmt numFmtId="170" formatCode="#\ ##0"/>
    <numFmt numFmtId="171" formatCode="#.##"/>
    <numFmt numFmtId="172" formatCode="_-* #,##0\ _k_r_-;\-* #,##0\ _k_r_-;_-* &quot;-&quot;??\ _k_r_-;_-@_-"/>
  </numFmts>
  <fonts count="3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vertAlign val="superscript"/>
      <sz val="10"/>
      <name val="Calibri"/>
      <family val="2"/>
      <scheme val="minor"/>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11"/>
      <color theme="0"/>
      <name val="Calibri"/>
      <family val="2"/>
      <scheme val="minor"/>
    </font>
    <font>
      <sz val="8"/>
      <name val="FranklinGothic"/>
    </font>
    <font>
      <b/>
      <sz val="8"/>
      <color rgb="FFFFFFFF"/>
      <name val="Calibri"/>
      <family val="2"/>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vertAlign val="superscript"/>
      <sz val="8"/>
      <name val="FranklinGothic"/>
    </font>
    <font>
      <i/>
      <sz val="8"/>
      <color rgb="FFFF0000"/>
      <name val="Arial"/>
      <family val="2"/>
    </font>
    <font>
      <sz val="9"/>
      <color rgb="FFFF0000"/>
      <name val="Arial"/>
      <family val="2"/>
    </font>
    <font>
      <vertAlign val="superscript"/>
      <sz val="8"/>
      <name val="Arial"/>
      <family val="2"/>
    </font>
    <font>
      <i/>
      <sz val="12"/>
      <name val="Arial"/>
      <family val="2"/>
    </font>
    <font>
      <sz val="7"/>
      <name val="Calibri"/>
      <family val="2"/>
    </font>
    <font>
      <vertAlign val="superscript"/>
      <sz val="7"/>
      <name val="Calibri"/>
      <family val="2"/>
    </font>
    <font>
      <vertAlign val="superscript"/>
      <sz val="7"/>
      <name val="Arial"/>
      <family val="2"/>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1">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66">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5" fillId="3" borderId="1" xfId="3" applyNumberFormat="1" applyFont="1" applyFill="1" applyBorder="1" applyAlignment="1" applyProtection="1">
      <alignment horizontal="right"/>
    </xf>
    <xf numFmtId="0" fontId="5" fillId="4" borderId="0"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3" fontId="11" fillId="2" borderId="0" xfId="0"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7"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7"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8" fillId="2" borderId="0" xfId="0" applyFont="1" applyFill="1"/>
    <xf numFmtId="3" fontId="11" fillId="2" borderId="0" xfId="6" applyNumberFormat="1" applyFont="1" applyFill="1" applyBorder="1" applyAlignment="1" applyProtection="1">
      <alignment horizontal="left" wrapText="1"/>
    </xf>
    <xf numFmtId="0" fontId="19" fillId="2" borderId="0" xfId="0" applyFont="1" applyFill="1" applyBorder="1" applyAlignment="1" applyProtection="1"/>
    <xf numFmtId="0" fontId="21" fillId="3" borderId="1" xfId="3" applyFont="1" applyFill="1" applyBorder="1" applyAlignment="1" applyProtection="1"/>
    <xf numFmtId="16" fontId="21" fillId="3" borderId="1" xfId="3" quotePrefix="1" applyNumberFormat="1" applyFont="1" applyFill="1" applyBorder="1" applyAlignment="1" applyProtection="1">
      <alignment horizontal="right"/>
    </xf>
    <xf numFmtId="0" fontId="21" fillId="3" borderId="1" xfId="3" applyFont="1" applyFill="1" applyBorder="1" applyAlignment="1" applyProtection="1">
      <alignment vertical="top"/>
    </xf>
    <xf numFmtId="0" fontId="21"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20"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0" fontId="13" fillId="2" borderId="5" xfId="6" applyFont="1" applyFill="1" applyBorder="1" applyAlignment="1" applyProtection="1"/>
    <xf numFmtId="0" fontId="8" fillId="2" borderId="2" xfId="0" applyFont="1" applyFill="1" applyBorder="1" applyAlignment="1">
      <alignment horizontal="left" vertical="center" wrapText="1"/>
    </xf>
    <xf numFmtId="0" fontId="8" fillId="2" borderId="2" xfId="0" applyFont="1" applyFill="1" applyBorder="1" applyAlignment="1">
      <alignment horizontal="left" vertical="center"/>
    </xf>
    <xf numFmtId="166" fontId="11" fillId="2" borderId="0" xfId="0" applyNumberFormat="1" applyFont="1" applyFill="1" applyBorder="1" applyAlignment="1" applyProtection="1"/>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9"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7" fillId="2" borderId="0" xfId="0" applyFont="1" applyFill="1" applyBorder="1"/>
    <xf numFmtId="0" fontId="23" fillId="4" borderId="10"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7" fillId="2" borderId="4" xfId="0" applyFont="1" applyFill="1" applyBorder="1"/>
    <xf numFmtId="166" fontId="17" fillId="2" borderId="4" xfId="0" applyNumberFormat="1" applyFont="1" applyFill="1" applyBorder="1"/>
    <xf numFmtId="0" fontId="25" fillId="2" borderId="0" xfId="0" applyFont="1" applyFill="1" applyBorder="1" applyAlignment="1" applyProtection="1">
      <alignment horizontal="left"/>
    </xf>
    <xf numFmtId="0" fontId="25" fillId="2" borderId="0" xfId="0" applyFont="1" applyFill="1" applyBorder="1" applyAlignment="1" applyProtection="1"/>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9" fillId="2" borderId="0" xfId="6" applyFont="1" applyFill="1" applyBorder="1" applyAlignment="1" applyProtection="1"/>
    <xf numFmtId="3" fontId="0" fillId="2" borderId="0" xfId="0" applyNumberFormat="1" applyFill="1"/>
    <xf numFmtId="0" fontId="28"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9" fillId="2" borderId="0" xfId="0" applyFont="1" applyFill="1" applyBorder="1" applyAlignment="1" applyProtection="1"/>
    <xf numFmtId="0" fontId="30" fillId="2" borderId="0" xfId="0" applyFont="1" applyFill="1"/>
    <xf numFmtId="164" fontId="14" fillId="2" borderId="0" xfId="1" applyNumberFormat="1" applyFont="1" applyFill="1" applyBorder="1" applyAlignment="1" applyProtection="1">
      <alignment horizontal="left"/>
    </xf>
    <xf numFmtId="0" fontId="11" fillId="2" borderId="4" xfId="6" quotePrefix="1" applyFont="1" applyFill="1" applyBorder="1" applyAlignment="1" applyProtection="1"/>
    <xf numFmtId="2" fontId="11" fillId="2" borderId="0" xfId="0" applyNumberFormat="1" applyFont="1" applyFill="1" applyBorder="1" applyAlignment="1" applyProtection="1"/>
    <xf numFmtId="3" fontId="11" fillId="4" borderId="0" xfId="8" applyFont="1" applyFill="1" applyBorder="1" applyAlignment="1" applyProtection="1"/>
    <xf numFmtId="0" fontId="10" fillId="2" borderId="0" xfId="0"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7" fillId="2" borderId="0" xfId="0" applyNumberFormat="1" applyFont="1" applyFill="1" applyBorder="1"/>
    <xf numFmtId="3" fontId="11" fillId="2" borderId="4" xfId="6" quotePrefix="1" applyNumberFormat="1" applyFont="1" applyFill="1" applyBorder="1" applyAlignment="1" applyProtection="1"/>
    <xf numFmtId="3" fontId="11" fillId="4" borderId="4" xfId="5" applyNumberFormat="1" applyFont="1" applyFill="1" applyBorder="1" applyAlignment="1" applyProtection="1"/>
    <xf numFmtId="168"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6"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165" fontId="11" fillId="4" borderId="4" xfId="5" applyNumberFormat="1" applyFont="1" applyFill="1" applyBorder="1" applyAlignment="1" applyProtection="1">
      <alignment horizontal="right"/>
    </xf>
    <xf numFmtId="2" fontId="13" fillId="0" borderId="4" xfId="0" quotePrefix="1" applyNumberFormat="1" applyFont="1" applyFill="1" applyBorder="1" applyProtection="1"/>
    <xf numFmtId="0" fontId="32" fillId="2" borderId="0" xfId="6" applyFont="1" applyFill="1" applyBorder="1" applyAlignment="1" applyProtection="1"/>
    <xf numFmtId="0" fontId="33" fillId="2" borderId="0" xfId="0" applyFont="1" applyFill="1" applyBorder="1" applyAlignment="1" applyProtection="1"/>
    <xf numFmtId="9" fontId="13" fillId="0" borderId="4" xfId="2" applyFont="1" applyFill="1" applyBorder="1" applyAlignment="1" applyProtection="1"/>
    <xf numFmtId="3" fontId="11" fillId="2" borderId="0" xfId="0" applyNumberFormat="1" applyFont="1" applyFill="1"/>
    <xf numFmtId="167" fontId="11" fillId="2" borderId="0" xfId="2" applyNumberFormat="1" applyFont="1" applyFill="1"/>
    <xf numFmtId="168" fontId="13" fillId="0" borderId="4" xfId="5" applyNumberFormat="1" applyFont="1" applyFill="1" applyBorder="1" applyAlignment="1" applyProtection="1"/>
    <xf numFmtId="167" fontId="11" fillId="2" borderId="0" xfId="0" applyNumberFormat="1" applyFont="1" applyFill="1" applyBorder="1"/>
    <xf numFmtId="0" fontId="11" fillId="2" borderId="4" xfId="0" applyFont="1" applyFill="1" applyBorder="1"/>
    <xf numFmtId="3" fontId="11" fillId="2" borderId="0" xfId="8" applyFont="1" applyFill="1" applyBorder="1" applyAlignment="1" applyProtection="1"/>
    <xf numFmtId="3" fontId="17" fillId="2" borderId="0" xfId="0" quotePrefix="1" applyNumberFormat="1" applyFont="1" applyFill="1" applyBorder="1" applyProtection="1"/>
    <xf numFmtId="2" fontId="11" fillId="0" borderId="0" xfId="0" applyNumberFormat="1" applyFont="1" applyFill="1" applyBorder="1" applyAlignment="1" applyProtection="1"/>
    <xf numFmtId="3" fontId="11" fillId="0" borderId="0" xfId="8" applyFont="1" applyFill="1" applyBorder="1" applyAlignment="1" applyProtection="1"/>
    <xf numFmtId="167" fontId="17" fillId="0" borderId="0" xfId="2" applyNumberFormat="1" applyFont="1" applyFill="1"/>
    <xf numFmtId="167" fontId="11" fillId="0" borderId="0" xfId="2" applyNumberFormat="1" applyFont="1" applyFill="1"/>
    <xf numFmtId="0" fontId="11" fillId="0" borderId="0" xfId="0" quotePrefix="1" applyFont="1" applyFill="1" applyBorder="1" applyProtection="1"/>
    <xf numFmtId="0" fontId="11" fillId="0" borderId="0" xfId="0" applyFont="1" applyFill="1" applyBorder="1" applyProtection="1"/>
    <xf numFmtId="0" fontId="11" fillId="0" borderId="0" xfId="0" applyFont="1" applyFill="1" applyBorder="1" applyAlignment="1" applyProtection="1">
      <alignment horizontal="left"/>
    </xf>
    <xf numFmtId="167" fontId="0" fillId="2" borderId="0" xfId="0" applyNumberFormat="1" applyFill="1"/>
    <xf numFmtId="3" fontId="17" fillId="2" borderId="0" xfId="5" applyNumberFormat="1" applyFont="1" applyFill="1" applyBorder="1" applyAlignment="1" applyProtection="1"/>
    <xf numFmtId="168" fontId="13" fillId="2" borderId="4" xfId="5" applyNumberFormat="1" applyFont="1" applyFill="1" applyBorder="1" applyAlignment="1" applyProtection="1"/>
    <xf numFmtId="9" fontId="13" fillId="2" borderId="4" xfId="2" applyFont="1" applyFill="1" applyBorder="1" applyAlignment="1" applyProtection="1"/>
    <xf numFmtId="165" fontId="11" fillId="2" borderId="0" xfId="0" applyNumberFormat="1" applyFont="1" applyFill="1" applyBorder="1" applyAlignment="1" applyProtection="1"/>
    <xf numFmtId="165" fontId="11" fillId="2" borderId="4" xfId="6" quotePrefix="1" applyNumberFormat="1" applyFont="1" applyFill="1" applyBorder="1" applyAlignment="1" applyProtection="1"/>
    <xf numFmtId="0" fontId="11" fillId="0" borderId="0" xfId="0" applyFont="1" applyFill="1" applyBorder="1" applyAlignment="1" applyProtection="1"/>
    <xf numFmtId="169" fontId="11" fillId="2" borderId="0" xfId="0" applyNumberFormat="1" applyFont="1" applyFill="1" applyBorder="1" applyAlignment="1" applyProtection="1"/>
    <xf numFmtId="170" fontId="11" fillId="2" borderId="0" xfId="0" quotePrefix="1" applyNumberFormat="1" applyFont="1" applyFill="1" applyBorder="1" applyProtection="1"/>
    <xf numFmtId="170" fontId="13" fillId="2" borderId="4" xfId="6" applyNumberFormat="1" applyFont="1" applyFill="1" applyBorder="1" applyAlignment="1" applyProtection="1"/>
    <xf numFmtId="170" fontId="11" fillId="2" borderId="1" xfId="6" applyNumberFormat="1" applyFont="1" applyFill="1" applyBorder="1" applyAlignment="1" applyProtection="1"/>
    <xf numFmtId="3" fontId="11" fillId="0" borderId="0" xfId="5" applyNumberFormat="1" applyFont="1" applyFill="1" applyBorder="1" applyAlignment="1" applyProtection="1"/>
    <xf numFmtId="165" fontId="11" fillId="2" borderId="0" xfId="5" applyNumberFormat="1" applyFont="1" applyFill="1" applyBorder="1" applyAlignment="1" applyProtection="1"/>
    <xf numFmtId="165" fontId="11" fillId="2" borderId="1" xfId="6" applyNumberFormat="1" applyFont="1" applyFill="1" applyBorder="1" applyAlignment="1" applyProtection="1"/>
    <xf numFmtId="3" fontId="11" fillId="0" borderId="0" xfId="0" quotePrefix="1" applyNumberFormat="1" applyFont="1" applyFill="1" applyBorder="1" applyProtection="1"/>
    <xf numFmtId="166" fontId="25" fillId="2" borderId="0" xfId="0" applyNumberFormat="1" applyFont="1" applyFill="1" applyBorder="1" applyAlignment="1" applyProtection="1">
      <alignment horizontal="left"/>
    </xf>
    <xf numFmtId="166" fontId="35" fillId="2" borderId="0" xfId="0" applyNumberFormat="1" applyFont="1" applyFill="1" applyBorder="1" applyAlignment="1" applyProtection="1">
      <alignment horizontal="left"/>
    </xf>
    <xf numFmtId="0" fontId="8" fillId="2" borderId="2" xfId="0" applyFont="1" applyFill="1" applyBorder="1" applyAlignment="1">
      <alignment vertical="center" wrapText="1"/>
    </xf>
    <xf numFmtId="0" fontId="7" fillId="2" borderId="2" xfId="0" applyFont="1" applyFill="1" applyBorder="1" applyAlignment="1">
      <alignment vertical="center"/>
    </xf>
    <xf numFmtId="0" fontId="6" fillId="2" borderId="2" xfId="4" applyFill="1" applyBorder="1" applyAlignment="1">
      <alignment vertical="center"/>
    </xf>
    <xf numFmtId="0" fontId="6" fillId="2" borderId="2" xfId="4" applyFill="1" applyBorder="1" applyAlignment="1">
      <alignment vertical="center" wrapText="1"/>
    </xf>
    <xf numFmtId="171" fontId="13" fillId="2" borderId="4" xfId="6" applyNumberFormat="1" applyFont="1" applyFill="1" applyBorder="1" applyAlignment="1" applyProtection="1"/>
    <xf numFmtId="0" fontId="15" fillId="2" borderId="0" xfId="0" applyFont="1" applyFill="1" applyBorder="1" applyAlignment="1" applyProtection="1">
      <alignment horizontal="left"/>
    </xf>
    <xf numFmtId="168" fontId="0" fillId="2" borderId="0" xfId="0" applyNumberFormat="1" applyFill="1"/>
    <xf numFmtId="168" fontId="13" fillId="2" borderId="4" xfId="6" applyNumberFormat="1" applyFont="1" applyFill="1" applyBorder="1" applyAlignment="1" applyProtection="1">
      <alignment horizontal="left"/>
    </xf>
    <xf numFmtId="168" fontId="13" fillId="2" borderId="4" xfId="6" applyNumberFormat="1" applyFont="1" applyFill="1" applyBorder="1" applyAlignment="1" applyProtection="1">
      <alignment horizontal="right"/>
    </xf>
    <xf numFmtId="170" fontId="11" fillId="2" borderId="0" xfId="0" applyNumberFormat="1" applyFont="1" applyFill="1" applyBorder="1" applyAlignment="1" applyProtection="1"/>
    <xf numFmtId="167" fontId="11" fillId="2" borderId="0" xfId="6" applyNumberFormat="1" applyFont="1" applyFill="1" applyBorder="1" applyAlignment="1" applyProtection="1">
      <alignment horizontal="right"/>
    </xf>
    <xf numFmtId="167" fontId="0" fillId="2" borderId="0" xfId="2" applyNumberFormat="1" applyFont="1" applyFill="1"/>
    <xf numFmtId="167" fontId="13" fillId="2" borderId="4" xfId="2" applyNumberFormat="1" applyFont="1" applyFill="1" applyBorder="1" applyAlignment="1" applyProtection="1">
      <alignment horizontal="left"/>
    </xf>
    <xf numFmtId="167" fontId="13" fillId="2" borderId="4" xfId="2" applyNumberFormat="1" applyFont="1" applyFill="1" applyBorder="1" applyAlignment="1" applyProtection="1">
      <alignment horizontal="right"/>
    </xf>
    <xf numFmtId="0" fontId="36" fillId="2" borderId="0" xfId="0" applyFont="1" applyFill="1" applyBorder="1" applyAlignment="1" applyProtection="1">
      <alignment horizontal="left"/>
    </xf>
    <xf numFmtId="2" fontId="11" fillId="2" borderId="0" xfId="0" applyNumberFormat="1" applyFont="1" applyFill="1" applyBorder="1" applyAlignment="1" applyProtection="1">
      <alignment horizontal="right"/>
    </xf>
    <xf numFmtId="172" fontId="0" fillId="2" borderId="0" xfId="1" applyNumberFormat="1" applyFont="1" applyFill="1"/>
    <xf numFmtId="0" fontId="8" fillId="2" borderId="9" xfId="0" applyFont="1" applyFill="1" applyBorder="1" applyAlignment="1">
      <alignment horizontal="left" vertical="center" wrapText="1"/>
    </xf>
    <xf numFmtId="0" fontId="6" fillId="2" borderId="0" xfId="4" applyFill="1" applyAlignment="1">
      <alignment vertical="center"/>
    </xf>
    <xf numFmtId="0" fontId="0" fillId="2" borderId="2" xfId="0" applyFill="1" applyBorder="1" applyAlignment="1">
      <alignment vertical="center"/>
    </xf>
    <xf numFmtId="0" fontId="8" fillId="2" borderId="6" xfId="0" applyFont="1" applyFill="1" applyBorder="1" applyAlignment="1">
      <alignment horizontal="left" vertical="center" wrapText="1"/>
    </xf>
    <xf numFmtId="0" fontId="27" fillId="2" borderId="2" xfId="0" applyFont="1" applyFill="1" applyBorder="1" applyAlignment="1">
      <alignment vertical="center" wrapText="1"/>
    </xf>
    <xf numFmtId="0" fontId="22" fillId="2" borderId="0" xfId="0" applyFont="1" applyFill="1"/>
    <xf numFmtId="165" fontId="11" fillId="2" borderId="0" xfId="6" applyNumberFormat="1" applyFont="1" applyFill="1" applyBorder="1" applyAlignment="1" applyProtection="1"/>
    <xf numFmtId="0" fontId="5" fillId="3" borderId="1" xfId="3" applyFont="1" applyAlignment="1" applyProtection="1"/>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0" fillId="2" borderId="0" xfId="0" applyFill="1" applyBorder="1" applyAlignment="1">
      <alignment horizontal="left" vertical="center"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3"/>
  <sheetViews>
    <sheetView tabSelected="1" zoomScale="90" zoomScaleNormal="90" workbookViewId="0">
      <selection activeCell="E8" sqref="E8"/>
    </sheetView>
  </sheetViews>
  <sheetFormatPr defaultRowHeight="15"/>
  <cols>
    <col min="1" max="1" width="63.42578125" style="2" customWidth="1"/>
    <col min="2" max="2" width="58.7109375" style="2" customWidth="1"/>
    <col min="3" max="3" width="47.7109375" style="2" customWidth="1"/>
    <col min="5" max="5" width="45" customWidth="1"/>
  </cols>
  <sheetData>
    <row r="1" spans="1:7" s="2" customFormat="1">
      <c r="A1" s="3" t="s">
        <v>221</v>
      </c>
    </row>
    <row r="2" spans="1:7" s="2" customFormat="1">
      <c r="A2" s="161" t="s">
        <v>108</v>
      </c>
      <c r="B2" s="161" t="s">
        <v>327</v>
      </c>
      <c r="C2" s="161" t="s">
        <v>107</v>
      </c>
    </row>
    <row r="3" spans="1:7" s="2" customFormat="1">
      <c r="A3" s="5" t="s">
        <v>0</v>
      </c>
      <c r="B3" s="2" t="s">
        <v>1</v>
      </c>
      <c r="C3" s="2" t="s">
        <v>2</v>
      </c>
    </row>
    <row r="4" spans="1:7" s="2" customFormat="1">
      <c r="A4" s="5" t="s">
        <v>3</v>
      </c>
      <c r="B4" s="2" t="s">
        <v>4</v>
      </c>
      <c r="C4" s="2" t="s">
        <v>2</v>
      </c>
    </row>
    <row r="5" spans="1:7" s="2" customFormat="1">
      <c r="A5" s="5" t="s">
        <v>5</v>
      </c>
      <c r="B5" s="2" t="s">
        <v>109</v>
      </c>
      <c r="C5" s="2" t="s">
        <v>2</v>
      </c>
    </row>
    <row r="6" spans="1:7" s="2" customFormat="1">
      <c r="A6" s="161"/>
      <c r="B6" s="161"/>
      <c r="C6" s="161"/>
    </row>
    <row r="7" spans="1:7" s="2" customFormat="1"/>
    <row r="8" spans="1:7" s="2" customFormat="1" ht="120.75" customHeight="1">
      <c r="A8" s="165" t="s">
        <v>287</v>
      </c>
      <c r="B8" s="165"/>
      <c r="C8" s="165"/>
      <c r="G8" s="1"/>
    </row>
    <row r="9" spans="1:7" s="2" customFormat="1" ht="24.75" customHeight="1"/>
    <row r="10" spans="1:7" s="2" customFormat="1">
      <c r="A10" s="6" t="s">
        <v>6</v>
      </c>
      <c r="B10" s="6" t="s">
        <v>7</v>
      </c>
      <c r="C10" s="6" t="s">
        <v>130</v>
      </c>
    </row>
    <row r="11" spans="1:7" s="2" customFormat="1" ht="30">
      <c r="A11" s="138" t="s">
        <v>28</v>
      </c>
      <c r="B11" s="54" t="s">
        <v>141</v>
      </c>
      <c r="C11" s="53" t="s">
        <v>160</v>
      </c>
    </row>
    <row r="12" spans="1:7" s="2" customFormat="1" ht="30">
      <c r="A12" s="139" t="s">
        <v>34</v>
      </c>
      <c r="B12" s="53" t="s">
        <v>323</v>
      </c>
      <c r="C12" s="53" t="s">
        <v>152</v>
      </c>
    </row>
    <row r="13" spans="1:7" s="2" customFormat="1" ht="45">
      <c r="A13" s="138" t="s">
        <v>12</v>
      </c>
      <c r="B13" s="53" t="s">
        <v>315</v>
      </c>
      <c r="C13" s="53" t="s">
        <v>131</v>
      </c>
    </row>
    <row r="14" spans="1:7" s="2" customFormat="1" ht="30">
      <c r="A14" s="138" t="s">
        <v>13</v>
      </c>
      <c r="B14" s="54" t="s">
        <v>134</v>
      </c>
      <c r="C14" s="53" t="s">
        <v>276</v>
      </c>
    </row>
    <row r="15" spans="1:7" s="2" customFormat="1" ht="30" customHeight="1">
      <c r="A15" s="155" t="s">
        <v>106</v>
      </c>
      <c r="B15" s="53" t="s">
        <v>156</v>
      </c>
      <c r="C15" s="162" t="s">
        <v>274</v>
      </c>
    </row>
    <row r="16" spans="1:7" s="2" customFormat="1" ht="30" customHeight="1">
      <c r="A16" s="140" t="s">
        <v>16</v>
      </c>
      <c r="B16" s="53" t="s">
        <v>157</v>
      </c>
      <c r="C16" s="163"/>
    </row>
    <row r="17" spans="1:4" s="2" customFormat="1" ht="30">
      <c r="A17" s="140" t="s">
        <v>17</v>
      </c>
      <c r="B17" s="53" t="s">
        <v>135</v>
      </c>
      <c r="C17" s="164"/>
    </row>
    <row r="18" spans="1:4" s="2" customFormat="1" ht="45">
      <c r="A18" s="156" t="s">
        <v>18</v>
      </c>
      <c r="B18" s="53" t="s">
        <v>318</v>
      </c>
      <c r="C18" s="162" t="s">
        <v>280</v>
      </c>
      <c r="D18" s="1"/>
    </row>
    <row r="19" spans="1:4" s="2" customFormat="1" ht="45">
      <c r="A19" s="155" t="s">
        <v>310</v>
      </c>
      <c r="B19" s="53" t="s">
        <v>317</v>
      </c>
      <c r="C19" s="163"/>
      <c r="D19" s="1"/>
    </row>
    <row r="20" spans="1:4" s="2" customFormat="1" ht="30">
      <c r="A20" s="139" t="s">
        <v>313</v>
      </c>
      <c r="B20" s="53" t="s">
        <v>311</v>
      </c>
      <c r="C20" s="164"/>
    </row>
    <row r="21" spans="1:4" s="2" customFormat="1" ht="75" customHeight="1">
      <c r="A21" s="139" t="s">
        <v>19</v>
      </c>
      <c r="B21" s="53" t="s">
        <v>319</v>
      </c>
      <c r="C21" s="162" t="s">
        <v>132</v>
      </c>
    </row>
    <row r="22" spans="1:4" s="2" customFormat="1" ht="75" customHeight="1">
      <c r="A22" s="139" t="s">
        <v>314</v>
      </c>
      <c r="B22" s="53" t="s">
        <v>320</v>
      </c>
      <c r="C22" s="163"/>
    </row>
    <row r="23" spans="1:4" s="2" customFormat="1" ht="45">
      <c r="A23" s="139" t="s">
        <v>262</v>
      </c>
      <c r="B23" s="157" t="s">
        <v>324</v>
      </c>
      <c r="C23" s="164"/>
    </row>
    <row r="24" spans="1:4" s="2" customFormat="1" ht="60">
      <c r="A24" s="139" t="s">
        <v>20</v>
      </c>
      <c r="B24" s="53" t="s">
        <v>136</v>
      </c>
      <c r="C24" s="154" t="s">
        <v>273</v>
      </c>
    </row>
    <row r="25" spans="1:4" s="2" customFormat="1" ht="45">
      <c r="A25" s="139" t="s">
        <v>23</v>
      </c>
      <c r="B25" s="53" t="s">
        <v>139</v>
      </c>
      <c r="C25" s="53" t="s">
        <v>306</v>
      </c>
    </row>
    <row r="26" spans="1:4" s="2" customFormat="1" ht="60">
      <c r="A26" s="139" t="s">
        <v>24</v>
      </c>
      <c r="B26" s="53" t="s">
        <v>140</v>
      </c>
      <c r="C26" s="53" t="s">
        <v>146</v>
      </c>
    </row>
    <row r="27" spans="1:4" s="2" customFormat="1" ht="60">
      <c r="A27" s="138" t="s">
        <v>25</v>
      </c>
      <c r="B27" s="53" t="s">
        <v>158</v>
      </c>
      <c r="C27" s="53" t="s">
        <v>307</v>
      </c>
    </row>
    <row r="28" spans="1:4" s="2" customFormat="1" ht="60">
      <c r="A28" s="138" t="s">
        <v>22</v>
      </c>
      <c r="B28" s="53" t="s">
        <v>138</v>
      </c>
      <c r="C28" s="53" t="s">
        <v>131</v>
      </c>
    </row>
    <row r="29" spans="1:4" s="2" customFormat="1" ht="30">
      <c r="A29" s="139" t="s">
        <v>33</v>
      </c>
      <c r="B29" s="53" t="s">
        <v>145</v>
      </c>
      <c r="C29" s="53" t="s">
        <v>151</v>
      </c>
    </row>
    <row r="30" spans="1:4" s="2" customFormat="1" ht="30">
      <c r="A30" s="139" t="s">
        <v>10</v>
      </c>
      <c r="B30" s="54" t="s">
        <v>133</v>
      </c>
      <c r="C30" s="53" t="s">
        <v>279</v>
      </c>
    </row>
    <row r="31" spans="1:4" s="2" customFormat="1" ht="75">
      <c r="A31" s="138" t="s">
        <v>8</v>
      </c>
      <c r="B31" s="53" t="s">
        <v>304</v>
      </c>
      <c r="C31" s="53" t="s">
        <v>305</v>
      </c>
    </row>
    <row r="32" spans="1:4" s="2" customFormat="1" ht="46.5" customHeight="1">
      <c r="A32" s="139" t="s">
        <v>26</v>
      </c>
      <c r="B32" s="53" t="s">
        <v>173</v>
      </c>
      <c r="C32" s="53" t="s">
        <v>147</v>
      </c>
    </row>
    <row r="33" spans="1:3" s="2" customFormat="1" ht="45">
      <c r="A33" s="139" t="s">
        <v>27</v>
      </c>
      <c r="B33" s="53" t="s">
        <v>159</v>
      </c>
      <c r="C33" s="53" t="s">
        <v>149</v>
      </c>
    </row>
    <row r="34" spans="1:3" s="2" customFormat="1" ht="60">
      <c r="A34" s="139" t="s">
        <v>29</v>
      </c>
      <c r="B34" s="53" t="s">
        <v>174</v>
      </c>
      <c r="C34" s="53" t="s">
        <v>148</v>
      </c>
    </row>
    <row r="35" spans="1:3" s="2" customFormat="1" ht="45">
      <c r="A35" s="139" t="s">
        <v>30</v>
      </c>
      <c r="B35" s="53" t="s">
        <v>142</v>
      </c>
      <c r="C35" s="53" t="s">
        <v>161</v>
      </c>
    </row>
    <row r="36" spans="1:3" s="2" customFormat="1" ht="90">
      <c r="A36" s="138" t="s">
        <v>31</v>
      </c>
      <c r="B36" s="53" t="s">
        <v>308</v>
      </c>
      <c r="C36" s="53" t="s">
        <v>150</v>
      </c>
    </row>
    <row r="37" spans="1:3" s="2" customFormat="1" ht="30">
      <c r="A37" s="139" t="s">
        <v>32</v>
      </c>
      <c r="B37" s="54" t="s">
        <v>143</v>
      </c>
      <c r="C37" s="53" t="s">
        <v>154</v>
      </c>
    </row>
    <row r="38" spans="1:3" s="2" customFormat="1" ht="60">
      <c r="A38" s="138" t="s">
        <v>316</v>
      </c>
      <c r="B38" s="53" t="s">
        <v>144</v>
      </c>
      <c r="C38" s="54" t="s">
        <v>131</v>
      </c>
    </row>
    <row r="39" spans="1:3" s="2" customFormat="1" ht="45">
      <c r="A39" s="139" t="s">
        <v>14</v>
      </c>
      <c r="B39" s="53" t="s">
        <v>155</v>
      </c>
      <c r="C39" s="53" t="s">
        <v>275</v>
      </c>
    </row>
    <row r="40" spans="1:3" s="2" customFormat="1" ht="60">
      <c r="A40" s="139" t="s">
        <v>114</v>
      </c>
      <c r="B40" s="53" t="s">
        <v>162</v>
      </c>
      <c r="C40" s="53" t="s">
        <v>153</v>
      </c>
    </row>
    <row r="41" spans="1:3" s="2" customFormat="1" ht="30">
      <c r="A41" s="139" t="s">
        <v>11</v>
      </c>
      <c r="B41" s="53" t="s">
        <v>325</v>
      </c>
      <c r="C41" s="53" t="s">
        <v>277</v>
      </c>
    </row>
    <row r="42" spans="1:3" s="2" customFormat="1" ht="54" customHeight="1">
      <c r="A42" s="139" t="s">
        <v>21</v>
      </c>
      <c r="B42" s="53" t="s">
        <v>137</v>
      </c>
      <c r="C42" s="154" t="s">
        <v>272</v>
      </c>
    </row>
    <row r="43" spans="1:3" s="2" customFormat="1" ht="45">
      <c r="A43" s="138" t="s">
        <v>213</v>
      </c>
      <c r="B43" s="158" t="s">
        <v>322</v>
      </c>
      <c r="C43" s="137" t="s">
        <v>215</v>
      </c>
    </row>
    <row r="44" spans="1:3" s="2" customFormat="1" ht="45">
      <c r="A44" s="139" t="s">
        <v>9</v>
      </c>
      <c r="B44" s="53" t="s">
        <v>175</v>
      </c>
      <c r="C44" s="53" t="s">
        <v>278</v>
      </c>
    </row>
    <row r="45" spans="1:3" s="2" customFormat="1" ht="60">
      <c r="A45" s="138" t="s">
        <v>214</v>
      </c>
      <c r="B45" s="158" t="s">
        <v>321</v>
      </c>
      <c r="C45" s="137" t="s">
        <v>242</v>
      </c>
    </row>
    <row r="46" spans="1:3" s="2" customFormat="1"/>
    <row r="47" spans="1:3" s="2" customFormat="1"/>
    <row r="48" spans="1:3" s="2" customFormat="1"/>
    <row r="49" spans="1:1" s="2" customFormat="1"/>
    <row r="50" spans="1:1" s="2" customFormat="1"/>
    <row r="51" spans="1:1" s="2" customFormat="1"/>
    <row r="52" spans="1:1" s="2" customFormat="1"/>
    <row r="53" spans="1:1" s="2" customFormat="1"/>
    <row r="54" spans="1:1" s="2" customFormat="1">
      <c r="A54" s="159" t="s">
        <v>112</v>
      </c>
    </row>
    <row r="55" spans="1:1" s="2" customFormat="1"/>
    <row r="56" spans="1:1" s="2" customFormat="1"/>
    <row r="57" spans="1:1" s="2" customFormat="1"/>
    <row r="58" spans="1:1" s="2" customFormat="1"/>
    <row r="59" spans="1:1" s="2" customFormat="1"/>
    <row r="60" spans="1:1" s="2" customFormat="1"/>
    <row r="61" spans="1:1" s="2" customFormat="1"/>
    <row r="62" spans="1:1" s="2" customFormat="1"/>
    <row r="63" spans="1:1" s="2" customFormat="1"/>
    <row r="64" spans="1:1"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sheetData>
  <mergeCells count="4">
    <mergeCell ref="C15:C17"/>
    <mergeCell ref="C21:C23"/>
    <mergeCell ref="A8:C8"/>
    <mergeCell ref="C18:C20"/>
  </mergeCells>
  <hyperlinks>
    <hyperlink ref="A44" location="BR!B63" display="Sysselsatt kapital" xr:uid="{00000000-0004-0000-0000-000000000000}"/>
    <hyperlink ref="A39" location="Resultat_per_aktie__SEK" display="Resultat per aktie" xr:uid="{00000000-0004-0000-0000-000001000000}"/>
    <hyperlink ref="A21" location="EBITDA__exklusive_jämförelsestörande_poster" display="EBITDA" xr:uid="{00000000-0004-0000-0000-000005000000}"/>
    <hyperlink ref="A23" location="EBITDA_marginal_exklusive_jämföreslsestörande_poster" display="EBITDA marginal, %" xr:uid="{00000000-0004-0000-0000-000006000000}"/>
    <hyperlink ref="A37" location="P_E_tal" display="P/E tal" xr:uid="{00000000-0004-0000-0000-000007000000}"/>
    <hyperlink ref="A12" location="Avkastning_på_sysselsatt_kapital" display="Avkastning på sysselsatt kapital" xr:uid="{00000000-0004-0000-0000-000008000000}"/>
    <hyperlink ref="A29" location="Kapitalomsättningshastighet" display="Kapitalomsättningshastighet" xr:uid="{00000000-0004-0000-0000-000009000000}"/>
    <hyperlink ref="A41" location="Kassaflöde!B37" display="Skuldsättningsgrad, %" xr:uid="{00000000-0004-0000-0000-00000A000000}"/>
    <hyperlink ref="A42" location="Soliditet" display="Soliditet" xr:uid="{00000000-0004-0000-0000-00000C000000}"/>
    <hyperlink ref="A32" location="Kassaflöde!B36" display="Nettoskuld" xr:uid="{00000000-0004-0000-0000-00000D000000}"/>
    <hyperlink ref="A34" location="Operativt_kassaflöde" display="Operativt kassaflöde" xr:uid="{00000000-0004-0000-0000-00000E000000}"/>
    <hyperlink ref="A35" location="Operativt_kassaflöde_per_aktie" display="Operativt kassaflöde per aktie" xr:uid="{00000000-0004-0000-0000-00000F000000}"/>
    <hyperlink ref="A26" location="Fritt_kassaflöde_per_aktie" display="Fritt kassaflöde per aktie" xr:uid="{00000000-0004-0000-0000-000010000000}"/>
    <hyperlink ref="A25" location="Kassaflöde!B25" display="Fritt kassaflöde" xr:uid="{00000000-0004-0000-0000-000011000000}"/>
    <hyperlink ref="A30" location="Kassakonvertering" display="Kassakonvertering" xr:uid="{00000000-0004-0000-0000-000012000000}"/>
    <hyperlink ref="A3" location="Resultaträkningar" display="Årliga och kvartalsvisa resultaträkningar" xr:uid="{00000000-0004-0000-0000-000013000000}"/>
    <hyperlink ref="A4" location="Balansräkningar" display="Årliga och kvartalsvisa balansräkningar" xr:uid="{00000000-0004-0000-0000-000014000000}"/>
    <hyperlink ref="A5" location="Kassaflödesrapporter" display="Årliga och kvartalsvisa kassaflödesrapporter" xr:uid="{00000000-0004-0000-0000-000015000000}"/>
    <hyperlink ref="A24" location="EBITDA_Räntenetto" display="EBITDA/Räntenetto" xr:uid="{00000000-0004-0000-0000-000016000000}"/>
    <hyperlink ref="A16" location="RR!B68" display="EBIT exklusive jämförelsestörande poster" xr:uid="{00000000-0004-0000-0000-000017000000}"/>
    <hyperlink ref="A17" location="RR!B73" display="EBIT-marginal exklusive jämförelsestörande poster, % " xr:uid="{00000000-0004-0000-0000-000018000000}"/>
    <hyperlink ref="A33" location="Kassaflöde!B38" display="Nettoskuld/EBITDA " xr:uid="{00000000-0004-0000-0000-000019000000}"/>
    <hyperlink ref="A40" location="Rntek" display="Räntabilitet på eget kapital" xr:uid="{00000000-0004-0000-0000-00001A000000}"/>
    <hyperlink ref="A15" location="RR!B70" display="EBIT_" xr:uid="{E7893DE4-5FEB-4FE3-9C8F-AF76BADC6C88}"/>
    <hyperlink ref="A20" location="RR!B72" display="EBITA marginal exklusive jämförelsestörande poster, %" xr:uid="{CE384B2C-E66F-48CF-86CC-D528AF40FDF3}"/>
    <hyperlink ref="A19" location="RR!B66" display="EBITA exklusive jämförelsestörande poster" xr:uid="{05EF3262-1B2A-47F0-8AAA-D484426E352A}"/>
    <hyperlink ref="A22" location="EBITDA__exklusive_jämförelsestörande_poster" display="EBITDA" xr:uid="{3EE27CD6-9C4A-4320-AA9D-DB7AE32A59B6}"/>
  </hyperlinks>
  <pageMargins left="0.7" right="0.7" top="0.75" bottom="0.75" header="0.3" footer="0.3"/>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26"/>
  <sheetViews>
    <sheetView topLeftCell="B1" zoomScaleNormal="100" zoomScaleSheetLayoutView="100" workbookViewId="0">
      <selection activeCell="B1" sqref="B1"/>
    </sheetView>
  </sheetViews>
  <sheetFormatPr defaultRowHeight="15"/>
  <cols>
    <col min="1" max="1" width="9.140625" style="2" hidden="1" customWidth="1"/>
    <col min="2" max="2" width="52.7109375" style="2" customWidth="1"/>
    <col min="3" max="28" width="12.7109375" style="2" customWidth="1"/>
    <col min="29" max="31" width="12.5703125" style="2" customWidth="1"/>
    <col min="32" max="33" width="12.7109375" style="2" customWidth="1"/>
    <col min="34" max="16384" width="9.140625" style="2"/>
  </cols>
  <sheetData>
    <row r="1" spans="1:56">
      <c r="B1" s="3" t="s">
        <v>35</v>
      </c>
      <c r="C1" s="3"/>
      <c r="D1" s="3"/>
      <c r="E1" s="3"/>
      <c r="F1" s="3"/>
      <c r="G1" s="3"/>
      <c r="H1" s="3"/>
      <c r="I1" s="3"/>
      <c r="J1" s="3"/>
      <c r="K1" s="3"/>
      <c r="L1" s="3"/>
      <c r="M1" s="3"/>
      <c r="N1" s="3"/>
      <c r="O1" s="3"/>
      <c r="P1" s="3"/>
      <c r="Q1" s="3"/>
      <c r="R1" s="3"/>
      <c r="S1" s="3"/>
      <c r="V1" s="3"/>
      <c r="AA1" s="3"/>
      <c r="AF1" s="3"/>
    </row>
    <row r="2" spans="1:56">
      <c r="B2" s="3"/>
      <c r="C2" s="3"/>
      <c r="D2" s="3"/>
      <c r="E2" s="3"/>
      <c r="F2" s="3"/>
      <c r="G2" s="3"/>
      <c r="H2" s="1"/>
      <c r="I2" s="1"/>
      <c r="J2" s="1"/>
      <c r="K2" s="1"/>
      <c r="L2" s="1"/>
      <c r="M2" s="3"/>
      <c r="N2" s="3"/>
      <c r="O2" s="3"/>
      <c r="P2" s="3"/>
      <c r="Q2" s="79"/>
      <c r="R2" s="3"/>
      <c r="S2" s="3"/>
      <c r="V2" s="79"/>
      <c r="AA2" s="79"/>
      <c r="AF2" s="79"/>
    </row>
    <row r="3" spans="1:56" customFormat="1">
      <c r="A3" s="2"/>
      <c r="B3" s="4" t="s">
        <v>36</v>
      </c>
      <c r="C3" s="7" t="s">
        <v>164</v>
      </c>
      <c r="D3" s="7" t="s">
        <v>176</v>
      </c>
      <c r="E3" s="7" t="s">
        <v>183</v>
      </c>
      <c r="F3" s="7" t="s">
        <v>185</v>
      </c>
      <c r="G3" s="7" t="s">
        <v>186</v>
      </c>
      <c r="H3" s="7" t="s">
        <v>188</v>
      </c>
      <c r="I3" s="7" t="s">
        <v>194</v>
      </c>
      <c r="J3" s="7" t="s">
        <v>196</v>
      </c>
      <c r="K3" s="7" t="s">
        <v>199</v>
      </c>
      <c r="L3" s="7" t="s">
        <v>200</v>
      </c>
      <c r="M3" s="7" t="s">
        <v>202</v>
      </c>
      <c r="N3" s="7" t="s">
        <v>211</v>
      </c>
      <c r="O3" s="7" t="s">
        <v>216</v>
      </c>
      <c r="P3" s="7" t="s">
        <v>218</v>
      </c>
      <c r="Q3" s="7" t="s">
        <v>219</v>
      </c>
      <c r="R3" s="7" t="s">
        <v>222</v>
      </c>
      <c r="S3" s="7" t="s">
        <v>235</v>
      </c>
      <c r="T3" s="7" t="s">
        <v>238</v>
      </c>
      <c r="U3" s="7" t="s">
        <v>240</v>
      </c>
      <c r="V3" s="7" t="s">
        <v>241</v>
      </c>
      <c r="W3" s="7" t="s">
        <v>243</v>
      </c>
      <c r="X3" s="7" t="s">
        <v>245</v>
      </c>
      <c r="Y3" s="7" t="s">
        <v>254</v>
      </c>
      <c r="Z3" s="7" t="s">
        <v>257</v>
      </c>
      <c r="AA3" s="7" t="s">
        <v>258</v>
      </c>
      <c r="AB3" s="7" t="s">
        <v>259</v>
      </c>
      <c r="AC3" s="7" t="s">
        <v>260</v>
      </c>
      <c r="AD3" s="7" t="s">
        <v>269</v>
      </c>
      <c r="AE3" s="7" t="s">
        <v>288</v>
      </c>
      <c r="AF3" s="7" t="s">
        <v>289</v>
      </c>
      <c r="AG3" s="7" t="s">
        <v>326</v>
      </c>
      <c r="AH3" s="2"/>
      <c r="AI3" s="2"/>
      <c r="AJ3" s="2"/>
      <c r="AK3" s="2"/>
      <c r="AL3" s="2"/>
      <c r="AM3" s="2"/>
      <c r="AN3" s="2"/>
      <c r="AO3" s="2"/>
      <c r="AP3" s="2"/>
      <c r="AQ3" s="2"/>
      <c r="AR3" s="2"/>
      <c r="AS3" s="2"/>
      <c r="AT3" s="2"/>
      <c r="AU3" s="2"/>
      <c r="AV3" s="2"/>
      <c r="AW3" s="2"/>
      <c r="AX3" s="2"/>
      <c r="AY3" s="2"/>
      <c r="AZ3" s="2"/>
      <c r="BA3" s="2"/>
      <c r="BB3" s="2"/>
      <c r="BC3" s="2"/>
      <c r="BD3" s="2"/>
    </row>
    <row r="4" spans="1:56">
      <c r="B4" s="10" t="s">
        <v>37</v>
      </c>
      <c r="C4" s="128">
        <v>5995</v>
      </c>
      <c r="D4" s="128">
        <v>6052</v>
      </c>
      <c r="E4" s="128">
        <v>5918</v>
      </c>
      <c r="F4" s="128">
        <v>5980</v>
      </c>
      <c r="G4" s="128">
        <f>SUM(C4:F4)</f>
        <v>23945</v>
      </c>
      <c r="H4" s="128">
        <v>6023</v>
      </c>
      <c r="I4" s="128">
        <v>4985</v>
      </c>
      <c r="J4" s="128">
        <v>5077</v>
      </c>
      <c r="K4" s="128">
        <v>5409</v>
      </c>
      <c r="L4" s="128">
        <f>SUM(H4:K4)</f>
        <v>21494</v>
      </c>
      <c r="M4" s="128">
        <v>5822</v>
      </c>
      <c r="N4" s="128">
        <v>6079</v>
      </c>
      <c r="O4" s="128">
        <v>5872</v>
      </c>
      <c r="P4" s="128">
        <v>6016</v>
      </c>
      <c r="Q4" s="128">
        <f>SUM(M4:P4)</f>
        <v>23789</v>
      </c>
      <c r="R4" s="128">
        <v>7095</v>
      </c>
      <c r="S4" s="128">
        <v>7351</v>
      </c>
      <c r="T4" s="128">
        <v>7536</v>
      </c>
      <c r="U4" s="128">
        <v>8113</v>
      </c>
      <c r="V4" s="128">
        <f>SUM(R4:U4)</f>
        <v>30095</v>
      </c>
      <c r="W4" s="128">
        <v>8711</v>
      </c>
      <c r="X4" s="128">
        <v>8696</v>
      </c>
      <c r="Y4" s="128">
        <v>8458</v>
      </c>
      <c r="Z4" s="128">
        <v>8421</v>
      </c>
      <c r="AA4" s="128">
        <f>SUM(W4:Z4)</f>
        <v>34286</v>
      </c>
      <c r="AB4" s="128">
        <v>8234</v>
      </c>
      <c r="AC4" s="128">
        <v>8711</v>
      </c>
      <c r="AD4" s="128">
        <v>8442</v>
      </c>
      <c r="AE4" s="128">
        <v>8783</v>
      </c>
      <c r="AF4" s="128">
        <f>SUM(AB4:AE4)</f>
        <v>34170</v>
      </c>
      <c r="AG4" s="128">
        <v>8866</v>
      </c>
      <c r="AH4" s="78"/>
    </row>
    <row r="5" spans="1:56">
      <c r="B5" s="10" t="s">
        <v>38</v>
      </c>
      <c r="C5" s="128">
        <v>-3786</v>
      </c>
      <c r="D5" s="128">
        <v>-3812</v>
      </c>
      <c r="E5" s="128">
        <v>-3837</v>
      </c>
      <c r="F5" s="128">
        <v>-3853</v>
      </c>
      <c r="G5" s="128">
        <f t="shared" ref="G5:G22" si="0">SUM(C5:F5)</f>
        <v>-15288</v>
      </c>
      <c r="H5" s="128">
        <v>-3868</v>
      </c>
      <c r="I5" s="128">
        <v>-3267</v>
      </c>
      <c r="J5" s="128">
        <v>-3372</v>
      </c>
      <c r="K5" s="128">
        <v>-3403</v>
      </c>
      <c r="L5" s="128">
        <f t="shared" ref="L5:L23" si="1">SUM(H5:K5)</f>
        <v>-13910</v>
      </c>
      <c r="M5" s="128">
        <v>-3663</v>
      </c>
      <c r="N5" s="128">
        <v>-3842</v>
      </c>
      <c r="O5" s="128">
        <v>-3761</v>
      </c>
      <c r="P5" s="128">
        <v>-3966</v>
      </c>
      <c r="Q5" s="128">
        <f t="shared" ref="Q5:Q23" si="2">SUM(M5:P5)</f>
        <v>-15232</v>
      </c>
      <c r="R5" s="128">
        <v>-4533</v>
      </c>
      <c r="S5" s="128">
        <v>-4706</v>
      </c>
      <c r="T5" s="128">
        <v>-4835</v>
      </c>
      <c r="U5" s="128">
        <v>-5267</v>
      </c>
      <c r="V5" s="128">
        <f t="shared" ref="V5:V23" si="3">SUM(R5:U5)</f>
        <v>-19341</v>
      </c>
      <c r="W5" s="128">
        <v>-5607</v>
      </c>
      <c r="X5" s="128">
        <v>-5687</v>
      </c>
      <c r="Y5" s="128">
        <v>-5478</v>
      </c>
      <c r="Z5" s="128">
        <v>-5423</v>
      </c>
      <c r="AA5" s="128">
        <f t="shared" ref="AA5:AA23" si="4">SUM(W5:Z5)</f>
        <v>-22195</v>
      </c>
      <c r="AB5" s="128">
        <v>-5239</v>
      </c>
      <c r="AC5" s="128">
        <v>-5465</v>
      </c>
      <c r="AD5" s="128">
        <v>-5386</v>
      </c>
      <c r="AE5" s="128">
        <v>-5640</v>
      </c>
      <c r="AF5" s="128">
        <f t="shared" ref="AF5:AF23" si="5">SUM(AB5:AE5)</f>
        <v>-21730</v>
      </c>
      <c r="AG5" s="128">
        <v>-5476</v>
      </c>
      <c r="AH5" s="78"/>
    </row>
    <row r="6" spans="1:56">
      <c r="B6" s="14" t="s">
        <v>39</v>
      </c>
      <c r="C6" s="129">
        <f t="shared" ref="C6" si="6">SUM(C4:C5)</f>
        <v>2209</v>
      </c>
      <c r="D6" s="129">
        <f t="shared" ref="D6" si="7">SUM(D4:D5)</f>
        <v>2240</v>
      </c>
      <c r="E6" s="129">
        <f t="shared" ref="E6" si="8">SUM(E4:E5)</f>
        <v>2081</v>
      </c>
      <c r="F6" s="129">
        <f t="shared" ref="F6" si="9">SUM(F4:F5)</f>
        <v>2127</v>
      </c>
      <c r="G6" s="129">
        <f t="shared" ref="G6" si="10">SUM(G4:G5)</f>
        <v>8657</v>
      </c>
      <c r="H6" s="129">
        <f t="shared" ref="H6" si="11">SUM(H4:H5)</f>
        <v>2155</v>
      </c>
      <c r="I6" s="129">
        <f t="shared" ref="I6" si="12">SUM(I4:I5)</f>
        <v>1718</v>
      </c>
      <c r="J6" s="129">
        <f t="shared" ref="J6" si="13">SUM(J4:J5)</f>
        <v>1705</v>
      </c>
      <c r="K6" s="129">
        <f t="shared" ref="K6" si="14">SUM(K4:K5)</f>
        <v>2006</v>
      </c>
      <c r="L6" s="129">
        <f t="shared" ref="L6" si="15">SUM(L4:L5)</f>
        <v>7584</v>
      </c>
      <c r="M6" s="129">
        <f t="shared" ref="M6" si="16">SUM(M4:M5)</f>
        <v>2159</v>
      </c>
      <c r="N6" s="129">
        <f t="shared" ref="N6" si="17">SUM(N4:N5)</f>
        <v>2237</v>
      </c>
      <c r="O6" s="129">
        <f t="shared" ref="O6" si="18">SUM(O4:O5)</f>
        <v>2111</v>
      </c>
      <c r="P6" s="129">
        <f t="shared" ref="P6" si="19">SUM(P4:P5)</f>
        <v>2050</v>
      </c>
      <c r="Q6" s="129">
        <f t="shared" ref="Q6" si="20">SUM(Q4:Q5)</f>
        <v>8557</v>
      </c>
      <c r="R6" s="129">
        <f t="shared" ref="R6" si="21">SUM(R4:R5)</f>
        <v>2562</v>
      </c>
      <c r="S6" s="129">
        <f t="shared" ref="S6" si="22">SUM(S4:S5)</f>
        <v>2645</v>
      </c>
      <c r="T6" s="129">
        <f t="shared" ref="T6:V6" si="23">SUM(T4:T5)</f>
        <v>2701</v>
      </c>
      <c r="U6" s="129">
        <f t="shared" si="23"/>
        <v>2846</v>
      </c>
      <c r="V6" s="129">
        <f t="shared" si="23"/>
        <v>10754</v>
      </c>
      <c r="W6" s="129">
        <f t="shared" ref="W6:X6" si="24">SUM(W4:W5)</f>
        <v>3104</v>
      </c>
      <c r="X6" s="129">
        <f t="shared" si="24"/>
        <v>3009</v>
      </c>
      <c r="Y6" s="129">
        <f t="shared" ref="Y6" si="25">SUM(Y4:Y5)</f>
        <v>2980</v>
      </c>
      <c r="Z6" s="129">
        <f t="shared" ref="Z6:AB6" si="26">SUM(Z4:Z5)</f>
        <v>2998</v>
      </c>
      <c r="AA6" s="129">
        <f t="shared" si="26"/>
        <v>12091</v>
      </c>
      <c r="AB6" s="129">
        <f t="shared" si="26"/>
        <v>2995</v>
      </c>
      <c r="AC6" s="129">
        <f t="shared" ref="AC6:AD6" si="27">SUM(AC4:AC5)</f>
        <v>3246</v>
      </c>
      <c r="AD6" s="129">
        <f t="shared" si="27"/>
        <v>3056</v>
      </c>
      <c r="AE6" s="129">
        <f t="shared" ref="AE6" si="28">SUM(AE4:AE5)</f>
        <v>3143</v>
      </c>
      <c r="AF6" s="129">
        <f>SUM(AF4:AF5)</f>
        <v>12440</v>
      </c>
      <c r="AG6" s="129">
        <f t="shared" ref="AG6" si="29">SUM(AG4:AG5)</f>
        <v>3390</v>
      </c>
      <c r="AH6" s="78"/>
    </row>
    <row r="7" spans="1:56">
      <c r="B7" s="10" t="s">
        <v>40</v>
      </c>
      <c r="C7" s="128">
        <v>-504</v>
      </c>
      <c r="D7" s="128">
        <v>-513</v>
      </c>
      <c r="E7" s="128">
        <v>-480</v>
      </c>
      <c r="F7" s="128">
        <v>-493</v>
      </c>
      <c r="G7" s="128">
        <f t="shared" si="0"/>
        <v>-1990</v>
      </c>
      <c r="H7" s="128">
        <v>-526</v>
      </c>
      <c r="I7" s="128">
        <v>-419</v>
      </c>
      <c r="J7" s="128">
        <v>-407</v>
      </c>
      <c r="K7" s="128">
        <v>-419</v>
      </c>
      <c r="L7" s="128">
        <f t="shared" si="1"/>
        <v>-1771</v>
      </c>
      <c r="M7" s="128">
        <v>-447</v>
      </c>
      <c r="N7" s="128">
        <v>-464</v>
      </c>
      <c r="O7" s="128">
        <v>-506</v>
      </c>
      <c r="P7" s="128">
        <v>-473</v>
      </c>
      <c r="Q7" s="128">
        <f t="shared" si="2"/>
        <v>-1890</v>
      </c>
      <c r="R7" s="128">
        <v>-523</v>
      </c>
      <c r="S7" s="128">
        <v>-546</v>
      </c>
      <c r="T7" s="128">
        <v>-563</v>
      </c>
      <c r="U7" s="128">
        <v>-610</v>
      </c>
      <c r="V7" s="128">
        <f t="shared" si="3"/>
        <v>-2242</v>
      </c>
      <c r="W7" s="128">
        <v>-637</v>
      </c>
      <c r="X7" s="128">
        <v>-615</v>
      </c>
      <c r="Y7" s="128">
        <v>-648</v>
      </c>
      <c r="Z7" s="128">
        <v>-626</v>
      </c>
      <c r="AA7" s="128">
        <f t="shared" si="4"/>
        <v>-2526</v>
      </c>
      <c r="AB7" s="128">
        <v>-633</v>
      </c>
      <c r="AC7" s="128">
        <v>-660</v>
      </c>
      <c r="AD7" s="128">
        <v>-618</v>
      </c>
      <c r="AE7" s="128">
        <v>-618</v>
      </c>
      <c r="AF7" s="128">
        <f t="shared" si="5"/>
        <v>-2529</v>
      </c>
      <c r="AG7" s="128">
        <v>-660</v>
      </c>
      <c r="AH7" s="78"/>
    </row>
    <row r="8" spans="1:56">
      <c r="B8" s="10" t="s">
        <v>41</v>
      </c>
      <c r="C8" s="128">
        <v>-629</v>
      </c>
      <c r="D8" s="128">
        <v>-617</v>
      </c>
      <c r="E8" s="128">
        <v>-595</v>
      </c>
      <c r="F8" s="128">
        <v>-640</v>
      </c>
      <c r="G8" s="128">
        <f t="shared" si="0"/>
        <v>-2481</v>
      </c>
      <c r="H8" s="128">
        <v>-653</v>
      </c>
      <c r="I8" s="128">
        <v>-538</v>
      </c>
      <c r="J8" s="128">
        <v>-498</v>
      </c>
      <c r="K8" s="128">
        <v>-593</v>
      </c>
      <c r="L8" s="128">
        <f t="shared" si="1"/>
        <v>-2282</v>
      </c>
      <c r="M8" s="128">
        <v>-599</v>
      </c>
      <c r="N8" s="128">
        <v>-583</v>
      </c>
      <c r="O8" s="128">
        <v>-522</v>
      </c>
      <c r="P8" s="128">
        <v>-624</v>
      </c>
      <c r="Q8" s="128">
        <f t="shared" si="2"/>
        <v>-2328</v>
      </c>
      <c r="R8" s="128">
        <v>-656</v>
      </c>
      <c r="S8" s="128">
        <v>-650</v>
      </c>
      <c r="T8" s="128">
        <v>-687</v>
      </c>
      <c r="U8" s="128">
        <v>-815</v>
      </c>
      <c r="V8" s="128">
        <f t="shared" si="3"/>
        <v>-2808</v>
      </c>
      <c r="W8" s="128">
        <v>-774</v>
      </c>
      <c r="X8" s="128">
        <v>-763</v>
      </c>
      <c r="Y8" s="128">
        <v>-766</v>
      </c>
      <c r="Z8" s="128">
        <v>-820</v>
      </c>
      <c r="AA8" s="128">
        <f t="shared" si="4"/>
        <v>-3123</v>
      </c>
      <c r="AB8" s="128">
        <v>-801</v>
      </c>
      <c r="AC8" s="128">
        <v>-835</v>
      </c>
      <c r="AD8" s="128">
        <v>-821</v>
      </c>
      <c r="AE8" s="128">
        <v>-922</v>
      </c>
      <c r="AF8" s="128">
        <f t="shared" si="5"/>
        <v>-3379</v>
      </c>
      <c r="AG8" s="128">
        <v>-893</v>
      </c>
      <c r="AH8" s="78"/>
    </row>
    <row r="9" spans="1:56">
      <c r="B9" s="10" t="s">
        <v>42</v>
      </c>
      <c r="C9" s="128">
        <v>-110</v>
      </c>
      <c r="D9" s="128">
        <v>-114</v>
      </c>
      <c r="E9" s="128">
        <v>-112</v>
      </c>
      <c r="F9" s="128">
        <v>-112</v>
      </c>
      <c r="G9" s="128">
        <f t="shared" si="0"/>
        <v>-448</v>
      </c>
      <c r="H9" s="128">
        <v>-122</v>
      </c>
      <c r="I9" s="128">
        <v>-105</v>
      </c>
      <c r="J9" s="128">
        <v>-94</v>
      </c>
      <c r="K9" s="128">
        <v>-112</v>
      </c>
      <c r="L9" s="128">
        <f t="shared" si="1"/>
        <v>-433</v>
      </c>
      <c r="M9" s="128">
        <v>-108</v>
      </c>
      <c r="N9" s="128">
        <v>-104</v>
      </c>
      <c r="O9" s="128">
        <v>-109</v>
      </c>
      <c r="P9" s="128">
        <v>-111</v>
      </c>
      <c r="Q9" s="128">
        <f t="shared" si="2"/>
        <v>-432</v>
      </c>
      <c r="R9" s="128">
        <v>-122</v>
      </c>
      <c r="S9" s="128">
        <v>-125</v>
      </c>
      <c r="T9" s="128">
        <v>-132</v>
      </c>
      <c r="U9" s="128">
        <v>-175</v>
      </c>
      <c r="V9" s="128">
        <f t="shared" si="3"/>
        <v>-554</v>
      </c>
      <c r="W9" s="128">
        <v>-178</v>
      </c>
      <c r="X9" s="128">
        <v>-176</v>
      </c>
      <c r="Y9" s="128">
        <v>-181</v>
      </c>
      <c r="Z9" s="128">
        <v>-162</v>
      </c>
      <c r="AA9" s="128">
        <f t="shared" si="4"/>
        <v>-697</v>
      </c>
      <c r="AB9" s="128">
        <v>-173</v>
      </c>
      <c r="AC9" s="128">
        <v>-180</v>
      </c>
      <c r="AD9" s="128">
        <v>-171</v>
      </c>
      <c r="AE9" s="128">
        <v>-186</v>
      </c>
      <c r="AF9" s="128">
        <f t="shared" si="5"/>
        <v>-710</v>
      </c>
      <c r="AG9" s="128">
        <v>-192</v>
      </c>
      <c r="AH9" s="78"/>
    </row>
    <row r="10" spans="1:56">
      <c r="B10" s="10" t="s">
        <v>223</v>
      </c>
      <c r="C10" s="128">
        <v>59</v>
      </c>
      <c r="D10" s="128">
        <v>61</v>
      </c>
      <c r="E10" s="128">
        <v>49</v>
      </c>
      <c r="F10" s="128">
        <v>45</v>
      </c>
      <c r="G10" s="128">
        <f t="shared" si="0"/>
        <v>214</v>
      </c>
      <c r="H10" s="128">
        <v>44</v>
      </c>
      <c r="I10" s="128">
        <v>54</v>
      </c>
      <c r="J10" s="128">
        <v>62</v>
      </c>
      <c r="K10" s="128">
        <v>144</v>
      </c>
      <c r="L10" s="128">
        <f t="shared" si="1"/>
        <v>304</v>
      </c>
      <c r="M10" s="128">
        <v>40</v>
      </c>
      <c r="N10" s="128">
        <v>36</v>
      </c>
      <c r="O10" s="128">
        <v>53</v>
      </c>
      <c r="P10" s="128">
        <v>136</v>
      </c>
      <c r="Q10" s="128">
        <f t="shared" si="2"/>
        <v>265</v>
      </c>
      <c r="R10" s="128">
        <v>14</v>
      </c>
      <c r="S10" s="128">
        <v>73</v>
      </c>
      <c r="T10" s="128">
        <v>136</v>
      </c>
      <c r="U10" s="128">
        <v>72</v>
      </c>
      <c r="V10" s="128">
        <f t="shared" si="3"/>
        <v>295</v>
      </c>
      <c r="W10" s="128">
        <v>108</v>
      </c>
      <c r="X10" s="128">
        <v>212</v>
      </c>
      <c r="Y10" s="128">
        <v>211</v>
      </c>
      <c r="Z10" s="128">
        <v>261</v>
      </c>
      <c r="AA10" s="128">
        <f t="shared" si="4"/>
        <v>792</v>
      </c>
      <c r="AB10" s="128">
        <v>142</v>
      </c>
      <c r="AC10" s="128">
        <v>105</v>
      </c>
      <c r="AD10" s="128">
        <v>128</v>
      </c>
      <c r="AE10" s="128">
        <v>221</v>
      </c>
      <c r="AF10" s="128">
        <f t="shared" si="5"/>
        <v>596</v>
      </c>
      <c r="AG10" s="128">
        <v>110</v>
      </c>
      <c r="AH10" s="78"/>
    </row>
    <row r="11" spans="1:56">
      <c r="B11" s="10" t="s">
        <v>224</v>
      </c>
      <c r="C11" s="128">
        <v>-82</v>
      </c>
      <c r="D11" s="128">
        <v>-95</v>
      </c>
      <c r="E11" s="128">
        <v>-43</v>
      </c>
      <c r="F11" s="128">
        <v>-44</v>
      </c>
      <c r="G11" s="128">
        <f t="shared" si="0"/>
        <v>-264</v>
      </c>
      <c r="H11" s="128">
        <v>-34</v>
      </c>
      <c r="I11" s="128">
        <v>-97</v>
      </c>
      <c r="J11" s="128">
        <v>-84</v>
      </c>
      <c r="K11" s="128">
        <v>-181</v>
      </c>
      <c r="L11" s="128">
        <f t="shared" si="1"/>
        <v>-396</v>
      </c>
      <c r="M11" s="128">
        <v>-63</v>
      </c>
      <c r="N11" s="128">
        <v>-87</v>
      </c>
      <c r="O11" s="128">
        <v>-69</v>
      </c>
      <c r="P11" s="128">
        <v>-50</v>
      </c>
      <c r="Q11" s="128">
        <f t="shared" si="2"/>
        <v>-269</v>
      </c>
      <c r="R11" s="128">
        <v>-47</v>
      </c>
      <c r="S11" s="128">
        <v>-80</v>
      </c>
      <c r="T11" s="128">
        <v>-177</v>
      </c>
      <c r="U11" s="128">
        <v>-80</v>
      </c>
      <c r="V11" s="128">
        <f t="shared" si="3"/>
        <v>-384</v>
      </c>
      <c r="W11" s="128">
        <v>-216</v>
      </c>
      <c r="X11" s="128">
        <v>-228</v>
      </c>
      <c r="Y11" s="128">
        <v>-231</v>
      </c>
      <c r="Z11" s="128">
        <v>-342</v>
      </c>
      <c r="AA11" s="128">
        <f t="shared" si="4"/>
        <v>-1017</v>
      </c>
      <c r="AB11" s="128">
        <v>-154</v>
      </c>
      <c r="AC11" s="128">
        <v>-194</v>
      </c>
      <c r="AD11" s="128">
        <v>-254</v>
      </c>
      <c r="AE11" s="128">
        <v>-219</v>
      </c>
      <c r="AF11" s="128">
        <f t="shared" si="5"/>
        <v>-821</v>
      </c>
      <c r="AG11" s="128">
        <v>-292</v>
      </c>
      <c r="AH11" s="78"/>
      <c r="AK11" s="22"/>
      <c r="AL11" s="22"/>
      <c r="AM11" s="106"/>
    </row>
    <row r="12" spans="1:56">
      <c r="B12" s="10" t="s">
        <v>43</v>
      </c>
      <c r="C12" s="128">
        <v>0</v>
      </c>
      <c r="D12" s="128">
        <v>0</v>
      </c>
      <c r="E12" s="128">
        <v>2</v>
      </c>
      <c r="F12" s="128">
        <v>-1</v>
      </c>
      <c r="G12" s="128">
        <f t="shared" si="0"/>
        <v>1</v>
      </c>
      <c r="H12" s="128">
        <v>1</v>
      </c>
      <c r="I12" s="128">
        <v>-1</v>
      </c>
      <c r="J12" s="128">
        <v>0</v>
      </c>
      <c r="K12" s="128">
        <v>0</v>
      </c>
      <c r="L12" s="128">
        <f t="shared" si="1"/>
        <v>0</v>
      </c>
      <c r="M12" s="128">
        <v>0</v>
      </c>
      <c r="N12" s="128">
        <v>1</v>
      </c>
      <c r="O12" s="128">
        <v>-1</v>
      </c>
      <c r="P12" s="128">
        <v>0</v>
      </c>
      <c r="Q12" s="128">
        <f t="shared" si="2"/>
        <v>0</v>
      </c>
      <c r="R12" s="128">
        <v>2</v>
      </c>
      <c r="S12" s="128">
        <v>2</v>
      </c>
      <c r="T12" s="128">
        <v>0</v>
      </c>
      <c r="U12" s="128">
        <v>1</v>
      </c>
      <c r="V12" s="128">
        <f t="shared" si="3"/>
        <v>5</v>
      </c>
      <c r="W12" s="128">
        <v>4</v>
      </c>
      <c r="X12" s="128">
        <v>3</v>
      </c>
      <c r="Y12" s="128">
        <v>-4</v>
      </c>
      <c r="Z12" s="128">
        <v>-5</v>
      </c>
      <c r="AA12" s="128">
        <f t="shared" si="4"/>
        <v>-2</v>
      </c>
      <c r="AB12" s="128">
        <v>3</v>
      </c>
      <c r="AC12" s="128">
        <v>1</v>
      </c>
      <c r="AD12" s="128">
        <v>0</v>
      </c>
      <c r="AE12" s="128">
        <v>1</v>
      </c>
      <c r="AF12" s="128">
        <f t="shared" si="5"/>
        <v>5</v>
      </c>
      <c r="AG12" s="128">
        <v>-1</v>
      </c>
      <c r="AH12" s="78"/>
      <c r="AK12" s="22"/>
      <c r="AL12" s="22"/>
      <c r="AM12" s="106"/>
    </row>
    <row r="13" spans="1:56">
      <c r="B13" s="14" t="s">
        <v>44</v>
      </c>
      <c r="C13" s="129">
        <f t="shared" ref="C13" si="30">SUM(C6:C12)</f>
        <v>943</v>
      </c>
      <c r="D13" s="129">
        <f t="shared" ref="D13" si="31">SUM(D6:D12)</f>
        <v>962</v>
      </c>
      <c r="E13" s="129">
        <f t="shared" ref="E13" si="32">SUM(E6:E12)</f>
        <v>902</v>
      </c>
      <c r="F13" s="129">
        <f t="shared" ref="F13" si="33">SUM(F6:F12)</f>
        <v>882</v>
      </c>
      <c r="G13" s="129">
        <f t="shared" ref="G13" si="34">SUM(G6:G12)</f>
        <v>3689</v>
      </c>
      <c r="H13" s="129">
        <f t="shared" ref="H13" si="35">SUM(H6:H12)</f>
        <v>865</v>
      </c>
      <c r="I13" s="129">
        <f t="shared" ref="I13" si="36">SUM(I6:I12)</f>
        <v>612</v>
      </c>
      <c r="J13" s="129">
        <f t="shared" ref="J13" si="37">SUM(J6:J12)</f>
        <v>684</v>
      </c>
      <c r="K13" s="129">
        <f t="shared" ref="K13" si="38">SUM(K6:K12)</f>
        <v>845</v>
      </c>
      <c r="L13" s="129">
        <f t="shared" ref="L13" si="39">SUM(L6:L12)</f>
        <v>3006</v>
      </c>
      <c r="M13" s="129">
        <f t="shared" ref="M13" si="40">SUM(M6:M12)</f>
        <v>982</v>
      </c>
      <c r="N13" s="129">
        <f t="shared" ref="N13" si="41">SUM(N6:N12)</f>
        <v>1036</v>
      </c>
      <c r="O13" s="129">
        <f t="shared" ref="O13" si="42">SUM(O6:O12)</f>
        <v>957</v>
      </c>
      <c r="P13" s="129">
        <f t="shared" ref="P13" si="43">SUM(P6:P12)</f>
        <v>928</v>
      </c>
      <c r="Q13" s="129">
        <f t="shared" ref="Q13" si="44">SUM(Q6:Q12)</f>
        <v>3903</v>
      </c>
      <c r="R13" s="129">
        <f t="shared" ref="R13" si="45">SUM(R6:R12)</f>
        <v>1230</v>
      </c>
      <c r="S13" s="129">
        <f t="shared" ref="S13" si="46">SUM(S6:S12)</f>
        <v>1319</v>
      </c>
      <c r="T13" s="129">
        <f t="shared" ref="T13:V13" si="47">SUM(T6:T12)</f>
        <v>1278</v>
      </c>
      <c r="U13" s="129">
        <f t="shared" si="47"/>
        <v>1239</v>
      </c>
      <c r="V13" s="129">
        <f t="shared" si="47"/>
        <v>5066</v>
      </c>
      <c r="W13" s="129">
        <f t="shared" ref="W13:X13" si="48">SUM(W6:W12)</f>
        <v>1411</v>
      </c>
      <c r="X13" s="129">
        <f t="shared" si="48"/>
        <v>1442</v>
      </c>
      <c r="Y13" s="129">
        <f t="shared" ref="Y13" si="49">SUM(Y6:Y12)</f>
        <v>1361</v>
      </c>
      <c r="Z13" s="129">
        <f t="shared" ref="Z13:AB13" si="50">SUM(Z6:Z12)</f>
        <v>1304</v>
      </c>
      <c r="AA13" s="129">
        <f t="shared" si="50"/>
        <v>5518</v>
      </c>
      <c r="AB13" s="129">
        <f t="shared" si="50"/>
        <v>1379</v>
      </c>
      <c r="AC13" s="129">
        <f t="shared" ref="AC13:AD13" si="51">SUM(AC6:AC12)</f>
        <v>1483</v>
      </c>
      <c r="AD13" s="129">
        <f t="shared" si="51"/>
        <v>1320</v>
      </c>
      <c r="AE13" s="129">
        <f t="shared" ref="AE13:AG13" si="52">SUM(AE6:AE12)</f>
        <v>1420</v>
      </c>
      <c r="AF13" s="129">
        <f t="shared" si="52"/>
        <v>5602</v>
      </c>
      <c r="AG13" s="129">
        <f t="shared" si="52"/>
        <v>1462</v>
      </c>
      <c r="AH13" s="78"/>
    </row>
    <row r="14" spans="1:56">
      <c r="B14" s="10" t="s">
        <v>45</v>
      </c>
      <c r="C14" s="128">
        <v>-14</v>
      </c>
      <c r="D14" s="128">
        <v>-75</v>
      </c>
      <c r="E14" s="128">
        <v>-101</v>
      </c>
      <c r="F14" s="128">
        <v>-827</v>
      </c>
      <c r="G14" s="128">
        <f t="shared" si="0"/>
        <v>-1017</v>
      </c>
      <c r="H14" s="128">
        <v>-27</v>
      </c>
      <c r="I14" s="128">
        <v>-55</v>
      </c>
      <c r="J14" s="128">
        <v>-71</v>
      </c>
      <c r="K14" s="128">
        <v>-107</v>
      </c>
      <c r="L14" s="128">
        <f t="shared" si="1"/>
        <v>-260</v>
      </c>
      <c r="M14" s="128">
        <v>105</v>
      </c>
      <c r="N14" s="128">
        <v>-40</v>
      </c>
      <c r="O14" s="128">
        <v>-20</v>
      </c>
      <c r="P14" s="128">
        <v>-128</v>
      </c>
      <c r="Q14" s="128">
        <f t="shared" si="2"/>
        <v>-83</v>
      </c>
      <c r="R14" s="128">
        <v>-25</v>
      </c>
      <c r="S14" s="128">
        <v>-33</v>
      </c>
      <c r="T14" s="128">
        <v>-68</v>
      </c>
      <c r="U14" s="128">
        <v>-115</v>
      </c>
      <c r="V14" s="128">
        <f t="shared" si="3"/>
        <v>-241</v>
      </c>
      <c r="W14" s="128">
        <v>-49</v>
      </c>
      <c r="X14" s="128">
        <v>-194</v>
      </c>
      <c r="Y14" s="128">
        <v>-111</v>
      </c>
      <c r="Z14" s="128">
        <v>-260</v>
      </c>
      <c r="AA14" s="128">
        <f t="shared" si="4"/>
        <v>-614</v>
      </c>
      <c r="AB14" s="128">
        <v>-55</v>
      </c>
      <c r="AC14" s="128">
        <v>-111</v>
      </c>
      <c r="AD14" s="128">
        <v>-73</v>
      </c>
      <c r="AE14" s="128">
        <v>-76</v>
      </c>
      <c r="AF14" s="128">
        <f t="shared" si="5"/>
        <v>-315</v>
      </c>
      <c r="AG14" s="128">
        <v>-61</v>
      </c>
      <c r="AH14" s="78"/>
    </row>
    <row r="15" spans="1:56">
      <c r="B15" s="14" t="s">
        <v>15</v>
      </c>
      <c r="C15" s="129">
        <f t="shared" ref="C15" si="53">SUM(C13:C14)</f>
        <v>929</v>
      </c>
      <c r="D15" s="129">
        <f t="shared" ref="D15" si="54">SUM(D13:D14)</f>
        <v>887</v>
      </c>
      <c r="E15" s="129">
        <f t="shared" ref="E15" si="55">SUM(E13:E14)</f>
        <v>801</v>
      </c>
      <c r="F15" s="129">
        <f t="shared" ref="F15" si="56">SUM(F13:F14)</f>
        <v>55</v>
      </c>
      <c r="G15" s="129">
        <f t="shared" ref="G15" si="57">SUM(G13:G14)</f>
        <v>2672</v>
      </c>
      <c r="H15" s="129">
        <f t="shared" ref="H15" si="58">SUM(H13:H14)</f>
        <v>838</v>
      </c>
      <c r="I15" s="129">
        <f t="shared" ref="I15" si="59">SUM(I13:I14)</f>
        <v>557</v>
      </c>
      <c r="J15" s="129">
        <f t="shared" ref="J15" si="60">SUM(J13:J14)</f>
        <v>613</v>
      </c>
      <c r="K15" s="129">
        <f t="shared" ref="K15" si="61">SUM(K13:K14)</f>
        <v>738</v>
      </c>
      <c r="L15" s="129">
        <f t="shared" ref="L15" si="62">SUM(L13:L14)</f>
        <v>2746</v>
      </c>
      <c r="M15" s="129">
        <f t="shared" ref="M15" si="63">SUM(M13:M14)</f>
        <v>1087</v>
      </c>
      <c r="N15" s="129">
        <f t="shared" ref="N15" si="64">SUM(N13:N14)</f>
        <v>996</v>
      </c>
      <c r="O15" s="129">
        <f t="shared" ref="O15" si="65">SUM(O13:O14)</f>
        <v>937</v>
      </c>
      <c r="P15" s="129">
        <f t="shared" ref="P15" si="66">SUM(P13:P14)</f>
        <v>800</v>
      </c>
      <c r="Q15" s="129">
        <f t="shared" ref="Q15" si="67">SUM(Q13:Q14)</f>
        <v>3820</v>
      </c>
      <c r="R15" s="129">
        <f t="shared" ref="R15" si="68">SUM(R13:R14)</f>
        <v>1205</v>
      </c>
      <c r="S15" s="129">
        <f t="shared" ref="S15:T15" si="69">SUM(S13:S14)</f>
        <v>1286</v>
      </c>
      <c r="T15" s="129">
        <f t="shared" si="69"/>
        <v>1210</v>
      </c>
      <c r="U15" s="129">
        <f t="shared" ref="U15:V15" si="70">SUM(U13:U14)</f>
        <v>1124</v>
      </c>
      <c r="V15" s="129">
        <f t="shared" si="70"/>
        <v>4825</v>
      </c>
      <c r="W15" s="129">
        <f t="shared" ref="W15:X15" si="71">SUM(W13:W14)</f>
        <v>1362</v>
      </c>
      <c r="X15" s="129">
        <f t="shared" si="71"/>
        <v>1248</v>
      </c>
      <c r="Y15" s="129">
        <f t="shared" ref="Y15" si="72">SUM(Y13:Y14)</f>
        <v>1250</v>
      </c>
      <c r="Z15" s="129">
        <f t="shared" ref="Z15:AB15" si="73">SUM(Z13:Z14)</f>
        <v>1044</v>
      </c>
      <c r="AA15" s="129">
        <f t="shared" si="73"/>
        <v>4904</v>
      </c>
      <c r="AB15" s="129">
        <f t="shared" si="73"/>
        <v>1324</v>
      </c>
      <c r="AC15" s="129">
        <f t="shared" ref="AC15:AD15" si="74">SUM(AC13:AC14)</f>
        <v>1372</v>
      </c>
      <c r="AD15" s="129">
        <f t="shared" si="74"/>
        <v>1247</v>
      </c>
      <c r="AE15" s="129">
        <f t="shared" ref="AE15:AG15" si="75">SUM(AE13:AE14)</f>
        <v>1344</v>
      </c>
      <c r="AF15" s="129">
        <f t="shared" si="75"/>
        <v>5287</v>
      </c>
      <c r="AG15" s="129">
        <f t="shared" si="75"/>
        <v>1401</v>
      </c>
      <c r="AH15" s="78"/>
    </row>
    <row r="16" spans="1:56">
      <c r="B16" s="16" t="s">
        <v>190</v>
      </c>
      <c r="C16" s="128">
        <v>-65</v>
      </c>
      <c r="D16" s="128">
        <v>-81</v>
      </c>
      <c r="E16" s="128">
        <v>-49</v>
      </c>
      <c r="F16" s="128">
        <v>-50</v>
      </c>
      <c r="G16" s="128">
        <f t="shared" si="0"/>
        <v>-245</v>
      </c>
      <c r="H16" s="128">
        <v>-69</v>
      </c>
      <c r="I16" s="128">
        <v>-41</v>
      </c>
      <c r="J16" s="128">
        <v>-32</v>
      </c>
      <c r="K16" s="128">
        <v>-51</v>
      </c>
      <c r="L16" s="128">
        <f t="shared" si="1"/>
        <v>-193</v>
      </c>
      <c r="M16" s="128">
        <v>-35</v>
      </c>
      <c r="N16" s="128">
        <v>-37</v>
      </c>
      <c r="O16" s="128">
        <v>-34</v>
      </c>
      <c r="P16" s="128">
        <v>-34</v>
      </c>
      <c r="Q16" s="128">
        <f t="shared" si="2"/>
        <v>-140</v>
      </c>
      <c r="R16" s="128">
        <v>-45</v>
      </c>
      <c r="S16" s="128">
        <v>-40</v>
      </c>
      <c r="T16" s="128">
        <v>-69</v>
      </c>
      <c r="U16" s="128">
        <v>-76</v>
      </c>
      <c r="V16" s="128">
        <f t="shared" si="3"/>
        <v>-230</v>
      </c>
      <c r="W16" s="128">
        <v>-165</v>
      </c>
      <c r="X16" s="128">
        <v>140</v>
      </c>
      <c r="Y16" s="128">
        <v>-44</v>
      </c>
      <c r="Z16" s="128">
        <v>-38</v>
      </c>
      <c r="AA16" s="128">
        <f t="shared" si="4"/>
        <v>-107</v>
      </c>
      <c r="AB16" s="128">
        <v>-20</v>
      </c>
      <c r="AC16" s="128">
        <v>-63</v>
      </c>
      <c r="AD16" s="128">
        <v>-128</v>
      </c>
      <c r="AE16" s="128">
        <v>-86</v>
      </c>
      <c r="AF16" s="128">
        <f t="shared" si="5"/>
        <v>-297</v>
      </c>
      <c r="AG16" s="128">
        <v>-144</v>
      </c>
      <c r="AH16" s="78"/>
    </row>
    <row r="17" spans="2:34">
      <c r="B17" s="14" t="s">
        <v>46</v>
      </c>
      <c r="C17" s="129">
        <f t="shared" ref="C17" si="76">SUM(C15:C16)</f>
        <v>864</v>
      </c>
      <c r="D17" s="129">
        <f t="shared" ref="D17" si="77">SUM(D15:D16)</f>
        <v>806</v>
      </c>
      <c r="E17" s="129">
        <f t="shared" ref="E17" si="78">SUM(E15:E16)</f>
        <v>752</v>
      </c>
      <c r="F17" s="129">
        <f t="shared" ref="F17" si="79">SUM(F15:F16)</f>
        <v>5</v>
      </c>
      <c r="G17" s="129">
        <f t="shared" ref="G17" si="80">SUM(G15:G16)</f>
        <v>2427</v>
      </c>
      <c r="H17" s="129">
        <f t="shared" ref="H17" si="81">SUM(H15:H16)</f>
        <v>769</v>
      </c>
      <c r="I17" s="129">
        <f t="shared" ref="I17" si="82">SUM(I15:I16)</f>
        <v>516</v>
      </c>
      <c r="J17" s="129">
        <f t="shared" ref="J17" si="83">SUM(J15:J16)</f>
        <v>581</v>
      </c>
      <c r="K17" s="129">
        <f t="shared" ref="K17" si="84">SUM(K15:K16)</f>
        <v>687</v>
      </c>
      <c r="L17" s="129">
        <f t="shared" ref="L17" si="85">SUM(L15:L16)</f>
        <v>2553</v>
      </c>
      <c r="M17" s="129">
        <f t="shared" ref="M17" si="86">SUM(M15:M16)</f>
        <v>1052</v>
      </c>
      <c r="N17" s="129">
        <f t="shared" ref="N17" si="87">SUM(N15:N16)</f>
        <v>959</v>
      </c>
      <c r="O17" s="129">
        <f t="shared" ref="O17" si="88">SUM(O15:O16)</f>
        <v>903</v>
      </c>
      <c r="P17" s="129">
        <f t="shared" ref="P17" si="89">SUM(P15:P16)</f>
        <v>766</v>
      </c>
      <c r="Q17" s="129">
        <f t="shared" ref="Q17" si="90">SUM(Q15:Q16)</f>
        <v>3680</v>
      </c>
      <c r="R17" s="129">
        <f t="shared" ref="R17" si="91">SUM(R15:R16)</f>
        <v>1160</v>
      </c>
      <c r="S17" s="129">
        <f t="shared" ref="S17:T17" si="92">SUM(S15:S16)</f>
        <v>1246</v>
      </c>
      <c r="T17" s="129">
        <f t="shared" si="92"/>
        <v>1141</v>
      </c>
      <c r="U17" s="129">
        <f t="shared" ref="U17:V17" si="93">SUM(U15:U16)</f>
        <v>1048</v>
      </c>
      <c r="V17" s="129">
        <f t="shared" si="93"/>
        <v>4595</v>
      </c>
      <c r="W17" s="129">
        <f t="shared" ref="W17:X17" si="94">SUM(W15:W16)</f>
        <v>1197</v>
      </c>
      <c r="X17" s="129">
        <f t="shared" si="94"/>
        <v>1388</v>
      </c>
      <c r="Y17" s="129">
        <f t="shared" ref="Y17" si="95">SUM(Y15:Y16)</f>
        <v>1206</v>
      </c>
      <c r="Z17" s="129">
        <f t="shared" ref="Z17:AB17" si="96">SUM(Z15:Z16)</f>
        <v>1006</v>
      </c>
      <c r="AA17" s="129">
        <f t="shared" si="96"/>
        <v>4797</v>
      </c>
      <c r="AB17" s="129">
        <f t="shared" si="96"/>
        <v>1304</v>
      </c>
      <c r="AC17" s="129">
        <f t="shared" ref="AC17" si="97">SUM(AC15:AC16)</f>
        <v>1309</v>
      </c>
      <c r="AD17" s="129">
        <f>SUM(AD15:AD16)</f>
        <v>1119</v>
      </c>
      <c r="AE17" s="129">
        <f t="shared" ref="AE17:AG17" si="98">SUM(AE15:AE16)</f>
        <v>1258</v>
      </c>
      <c r="AF17" s="129">
        <f t="shared" si="98"/>
        <v>4990</v>
      </c>
      <c r="AG17" s="129">
        <f t="shared" si="98"/>
        <v>1257</v>
      </c>
      <c r="AH17" s="78"/>
    </row>
    <row r="18" spans="2:34">
      <c r="B18" s="10" t="s">
        <v>47</v>
      </c>
      <c r="C18" s="128">
        <v>-254</v>
      </c>
      <c r="D18" s="128">
        <v>-240</v>
      </c>
      <c r="E18" s="128">
        <v>-226</v>
      </c>
      <c r="F18" s="128">
        <v>-74</v>
      </c>
      <c r="G18" s="128">
        <f t="shared" si="0"/>
        <v>-794</v>
      </c>
      <c r="H18" s="128">
        <v>-218</v>
      </c>
      <c r="I18" s="128">
        <v>-126</v>
      </c>
      <c r="J18" s="128">
        <v>-149</v>
      </c>
      <c r="K18" s="128">
        <v>-190</v>
      </c>
      <c r="L18" s="128">
        <f t="shared" si="1"/>
        <v>-683</v>
      </c>
      <c r="M18" s="128">
        <v>-242</v>
      </c>
      <c r="N18" s="128">
        <v>-245</v>
      </c>
      <c r="O18" s="128">
        <v>-230</v>
      </c>
      <c r="P18" s="128">
        <v>-254</v>
      </c>
      <c r="Q18" s="128">
        <f t="shared" si="2"/>
        <v>-971</v>
      </c>
      <c r="R18" s="128">
        <v>-300</v>
      </c>
      <c r="S18" s="128">
        <v>-304</v>
      </c>
      <c r="T18" s="128">
        <v>-279</v>
      </c>
      <c r="U18" s="128">
        <v>-283</v>
      </c>
      <c r="V18" s="128">
        <f t="shared" si="3"/>
        <v>-1166</v>
      </c>
      <c r="W18" s="128">
        <v>-298</v>
      </c>
      <c r="X18" s="128">
        <v>-491</v>
      </c>
      <c r="Y18" s="128">
        <v>-301</v>
      </c>
      <c r="Z18" s="128">
        <v>-226</v>
      </c>
      <c r="AA18" s="128">
        <f t="shared" si="4"/>
        <v>-1316</v>
      </c>
      <c r="AB18" s="128">
        <v>-324</v>
      </c>
      <c r="AC18" s="128">
        <v>-321</v>
      </c>
      <c r="AD18" s="128">
        <v>-283</v>
      </c>
      <c r="AE18" s="128">
        <v>-326</v>
      </c>
      <c r="AF18" s="128">
        <f t="shared" si="5"/>
        <v>-1254</v>
      </c>
      <c r="AG18" s="128">
        <v>-316</v>
      </c>
      <c r="AH18" s="78"/>
    </row>
    <row r="19" spans="2:34">
      <c r="B19" s="14" t="s">
        <v>290</v>
      </c>
      <c r="C19" s="129">
        <f t="shared" ref="C19" si="99">SUM(C17:C18)</f>
        <v>610</v>
      </c>
      <c r="D19" s="129">
        <f t="shared" ref="D19" si="100">SUM(D17:D18)</f>
        <v>566</v>
      </c>
      <c r="E19" s="129">
        <f t="shared" ref="E19" si="101">SUM(E17:E18)</f>
        <v>526</v>
      </c>
      <c r="F19" s="129">
        <f t="shared" ref="F19" si="102">SUM(F17:F18)</f>
        <v>-69</v>
      </c>
      <c r="G19" s="129">
        <f t="shared" ref="G19" si="103">SUM(G17:G18)</f>
        <v>1633</v>
      </c>
      <c r="H19" s="129">
        <f t="shared" ref="H19" si="104">SUM(H17:H18)</f>
        <v>551</v>
      </c>
      <c r="I19" s="129">
        <f t="shared" ref="I19" si="105">SUM(I17:I18)</f>
        <v>390</v>
      </c>
      <c r="J19" s="129">
        <f t="shared" ref="J19" si="106">SUM(J17:J18)</f>
        <v>432</v>
      </c>
      <c r="K19" s="129">
        <f t="shared" ref="K19" si="107">SUM(K17:K18)</f>
        <v>497</v>
      </c>
      <c r="L19" s="129">
        <f t="shared" ref="L19" si="108">SUM(L17:L18)</f>
        <v>1870</v>
      </c>
      <c r="M19" s="129">
        <f t="shared" ref="M19" si="109">SUM(M17:M18)</f>
        <v>810</v>
      </c>
      <c r="N19" s="129">
        <f t="shared" ref="N19" si="110">SUM(N17:N18)</f>
        <v>714</v>
      </c>
      <c r="O19" s="129">
        <f t="shared" ref="O19" si="111">SUM(O17:O18)</f>
        <v>673</v>
      </c>
      <c r="P19" s="129">
        <f t="shared" ref="P19" si="112">SUM(P17:P18)</f>
        <v>512</v>
      </c>
      <c r="Q19" s="129">
        <f t="shared" ref="Q19" si="113">SUM(Q17:Q18)</f>
        <v>2709</v>
      </c>
      <c r="R19" s="129">
        <f t="shared" ref="R19" si="114">SUM(R17:R18)</f>
        <v>860</v>
      </c>
      <c r="S19" s="129">
        <f t="shared" ref="S19" si="115">SUM(S17:S18)</f>
        <v>942</v>
      </c>
      <c r="T19" s="129">
        <f t="shared" ref="T19:V19" si="116">SUM(T17:T18)</f>
        <v>862</v>
      </c>
      <c r="U19" s="129">
        <f t="shared" si="116"/>
        <v>765</v>
      </c>
      <c r="V19" s="129">
        <f t="shared" si="116"/>
        <v>3429</v>
      </c>
      <c r="W19" s="129">
        <f t="shared" ref="W19:X19" si="117">SUM(W17:W18)</f>
        <v>899</v>
      </c>
      <c r="X19" s="129">
        <f t="shared" si="117"/>
        <v>897</v>
      </c>
      <c r="Y19" s="129">
        <f t="shared" ref="Y19" si="118">SUM(Y17:Y18)</f>
        <v>905</v>
      </c>
      <c r="Z19" s="129">
        <f t="shared" ref="Z19:AB19" si="119">SUM(Z17:Z18)</f>
        <v>780</v>
      </c>
      <c r="AA19" s="129">
        <f t="shared" si="119"/>
        <v>3481</v>
      </c>
      <c r="AB19" s="129">
        <f t="shared" si="119"/>
        <v>980</v>
      </c>
      <c r="AC19" s="129">
        <f t="shared" ref="AC19:AD19" si="120">SUM(AC17:AC18)</f>
        <v>988</v>
      </c>
      <c r="AD19" s="129">
        <f t="shared" si="120"/>
        <v>836</v>
      </c>
      <c r="AE19" s="129">
        <f t="shared" ref="AE19:AG19" si="121">SUM(AE17:AE18)</f>
        <v>932</v>
      </c>
      <c r="AF19" s="129">
        <f t="shared" si="121"/>
        <v>3736</v>
      </c>
      <c r="AG19" s="129">
        <f t="shared" si="121"/>
        <v>941</v>
      </c>
      <c r="AH19" s="78"/>
    </row>
    <row r="20" spans="2:34">
      <c r="B20" s="59" t="s">
        <v>168</v>
      </c>
      <c r="C20" s="130">
        <v>242</v>
      </c>
      <c r="D20" s="130">
        <v>240</v>
      </c>
      <c r="E20" s="130">
        <v>136</v>
      </c>
      <c r="F20" s="130">
        <v>-2450</v>
      </c>
      <c r="G20" s="130">
        <f t="shared" si="0"/>
        <v>-1832</v>
      </c>
      <c r="H20" s="130">
        <v>276</v>
      </c>
      <c r="I20" s="130">
        <v>182</v>
      </c>
      <c r="J20" s="130">
        <v>220</v>
      </c>
      <c r="K20" s="130">
        <v>163</v>
      </c>
      <c r="L20" s="130">
        <f t="shared" si="1"/>
        <v>841</v>
      </c>
      <c r="M20" s="130">
        <v>294</v>
      </c>
      <c r="N20" s="130">
        <v>278</v>
      </c>
      <c r="O20" s="130">
        <v>195</v>
      </c>
      <c r="P20" s="130">
        <v>240</v>
      </c>
      <c r="Q20" s="130">
        <f t="shared" si="2"/>
        <v>1007</v>
      </c>
      <c r="R20" s="130">
        <v>443</v>
      </c>
      <c r="S20" s="130">
        <v>574</v>
      </c>
      <c r="T20" s="130">
        <v>380</v>
      </c>
      <c r="U20" s="130">
        <v>431</v>
      </c>
      <c r="V20" s="130">
        <f t="shared" si="3"/>
        <v>1828</v>
      </c>
      <c r="W20" s="130">
        <v>463</v>
      </c>
      <c r="X20" s="130">
        <v>6130</v>
      </c>
      <c r="Y20" s="133">
        <v>0</v>
      </c>
      <c r="Z20" s="133">
        <v>0</v>
      </c>
      <c r="AA20" s="130">
        <f t="shared" si="4"/>
        <v>6593</v>
      </c>
      <c r="AB20" s="133">
        <v>0</v>
      </c>
      <c r="AC20" s="133">
        <v>0</v>
      </c>
      <c r="AD20" s="133">
        <v>0</v>
      </c>
      <c r="AE20" s="133">
        <v>0</v>
      </c>
      <c r="AF20" s="133">
        <v>0</v>
      </c>
      <c r="AG20" s="133">
        <v>0</v>
      </c>
      <c r="AH20" s="78"/>
    </row>
    <row r="21" spans="2:34">
      <c r="B21" s="14" t="s">
        <v>291</v>
      </c>
      <c r="C21" s="129">
        <f>SUM(C19:C20)</f>
        <v>852</v>
      </c>
      <c r="D21" s="129">
        <f t="shared" ref="D21" si="122">SUM(D19:D20)</f>
        <v>806</v>
      </c>
      <c r="E21" s="129">
        <f t="shared" ref="E21" si="123">SUM(E19:E20)</f>
        <v>662</v>
      </c>
      <c r="F21" s="129">
        <f t="shared" ref="F21" si="124">SUM(F19:F20)</f>
        <v>-2519</v>
      </c>
      <c r="G21" s="129">
        <f t="shared" ref="G21" si="125">SUM(G19:G20)</f>
        <v>-199</v>
      </c>
      <c r="H21" s="129">
        <f t="shared" ref="H21" si="126">SUM(H19:H20)</f>
        <v>827</v>
      </c>
      <c r="I21" s="129">
        <f t="shared" ref="I21" si="127">SUM(I19:I20)</f>
        <v>572</v>
      </c>
      <c r="J21" s="129">
        <f t="shared" ref="J21" si="128">SUM(J19:J20)</f>
        <v>652</v>
      </c>
      <c r="K21" s="129">
        <f t="shared" ref="K21" si="129">SUM(K19:K20)</f>
        <v>660</v>
      </c>
      <c r="L21" s="129">
        <f t="shared" ref="L21" si="130">SUM(L19:L20)</f>
        <v>2711</v>
      </c>
      <c r="M21" s="129">
        <f t="shared" ref="M21" si="131">SUM(M19:M20)</f>
        <v>1104</v>
      </c>
      <c r="N21" s="129">
        <f t="shared" ref="N21" si="132">SUM(N19:N20)</f>
        <v>992</v>
      </c>
      <c r="O21" s="129">
        <f t="shared" ref="O21" si="133">SUM(O19:O20)</f>
        <v>868</v>
      </c>
      <c r="P21" s="129">
        <f t="shared" ref="P21" si="134">SUM(P19:P20)</f>
        <v>752</v>
      </c>
      <c r="Q21" s="129">
        <f t="shared" ref="Q21" si="135">SUM(Q19:Q20)</f>
        <v>3716</v>
      </c>
      <c r="R21" s="129">
        <f t="shared" ref="R21" si="136">SUM(R19:R20)</f>
        <v>1303</v>
      </c>
      <c r="S21" s="129">
        <f t="shared" ref="S21" si="137">SUM(S19:S20)</f>
        <v>1516</v>
      </c>
      <c r="T21" s="129">
        <f t="shared" ref="T21:V21" si="138">SUM(T19:T20)</f>
        <v>1242</v>
      </c>
      <c r="U21" s="129">
        <f t="shared" si="138"/>
        <v>1196</v>
      </c>
      <c r="V21" s="129">
        <f t="shared" si="138"/>
        <v>5257</v>
      </c>
      <c r="W21" s="129">
        <f t="shared" ref="W21:X21" si="139">SUM(W19:W20)</f>
        <v>1362</v>
      </c>
      <c r="X21" s="129">
        <f t="shared" si="139"/>
        <v>7027</v>
      </c>
      <c r="Y21" s="129">
        <f t="shared" ref="Y21" si="140">SUM(Y19:Y20)</f>
        <v>905</v>
      </c>
      <c r="Z21" s="129">
        <f t="shared" ref="Z21:AB21" si="141">SUM(Z19:Z20)</f>
        <v>780</v>
      </c>
      <c r="AA21" s="129">
        <f t="shared" si="141"/>
        <v>10074</v>
      </c>
      <c r="AB21" s="129">
        <f t="shared" si="141"/>
        <v>980</v>
      </c>
      <c r="AC21" s="129">
        <f t="shared" ref="AC21:AD21" si="142">SUM(AC19:AC20)</f>
        <v>988</v>
      </c>
      <c r="AD21" s="129">
        <f t="shared" si="142"/>
        <v>836</v>
      </c>
      <c r="AE21" s="129">
        <f t="shared" ref="AE21:AG21" si="143">SUM(AE19:AE20)</f>
        <v>932</v>
      </c>
      <c r="AF21" s="129">
        <f t="shared" si="143"/>
        <v>3736</v>
      </c>
      <c r="AG21" s="129">
        <f t="shared" si="143"/>
        <v>941</v>
      </c>
      <c r="AH21" s="78"/>
    </row>
    <row r="22" spans="2:34">
      <c r="B22" s="10" t="s">
        <v>49</v>
      </c>
      <c r="C22" s="128">
        <v>852</v>
      </c>
      <c r="D22" s="128">
        <v>806</v>
      </c>
      <c r="E22" s="128">
        <v>662</v>
      </c>
      <c r="F22" s="128">
        <v>-2519</v>
      </c>
      <c r="G22" s="128">
        <f t="shared" si="0"/>
        <v>-199</v>
      </c>
      <c r="H22" s="128">
        <v>827</v>
      </c>
      <c r="I22" s="128">
        <v>572</v>
      </c>
      <c r="J22" s="128">
        <v>652</v>
      </c>
      <c r="K22" s="128">
        <v>661</v>
      </c>
      <c r="L22" s="128">
        <f t="shared" si="1"/>
        <v>2712</v>
      </c>
      <c r="M22" s="128">
        <v>1104</v>
      </c>
      <c r="N22" s="128">
        <v>992</v>
      </c>
      <c r="O22" s="128">
        <v>869</v>
      </c>
      <c r="P22" s="128">
        <v>752</v>
      </c>
      <c r="Q22" s="128">
        <f t="shared" si="2"/>
        <v>3717</v>
      </c>
      <c r="R22" s="128">
        <v>1303</v>
      </c>
      <c r="S22" s="128">
        <v>1517</v>
      </c>
      <c r="T22" s="128">
        <v>1243</v>
      </c>
      <c r="U22" s="128">
        <v>1197</v>
      </c>
      <c r="V22" s="128">
        <f t="shared" si="3"/>
        <v>5260</v>
      </c>
      <c r="W22" s="128">
        <v>1362</v>
      </c>
      <c r="X22" s="128">
        <v>7027</v>
      </c>
      <c r="Y22" s="128">
        <v>906</v>
      </c>
      <c r="Z22" s="128">
        <v>780</v>
      </c>
      <c r="AA22" s="128">
        <f t="shared" si="4"/>
        <v>10075</v>
      </c>
      <c r="AB22" s="128">
        <v>980</v>
      </c>
      <c r="AC22" s="128">
        <v>988</v>
      </c>
      <c r="AD22" s="128">
        <v>836</v>
      </c>
      <c r="AE22" s="128">
        <v>933</v>
      </c>
      <c r="AF22" s="128">
        <f t="shared" si="5"/>
        <v>3737</v>
      </c>
      <c r="AG22" s="128">
        <v>941</v>
      </c>
      <c r="AH22" s="78"/>
    </row>
    <row r="23" spans="2:34" s="9" customFormat="1">
      <c r="B23" s="13" t="s">
        <v>110</v>
      </c>
      <c r="C23" s="146">
        <v>0</v>
      </c>
      <c r="D23" s="146">
        <v>0</v>
      </c>
      <c r="E23" s="146">
        <v>0</v>
      </c>
      <c r="F23" s="146">
        <v>0</v>
      </c>
      <c r="G23" s="146">
        <v>0</v>
      </c>
      <c r="H23" s="146">
        <v>0</v>
      </c>
      <c r="I23" s="146">
        <v>0</v>
      </c>
      <c r="J23" s="146">
        <v>0</v>
      </c>
      <c r="K23" s="146">
        <v>-1</v>
      </c>
      <c r="L23" s="146">
        <f t="shared" si="1"/>
        <v>-1</v>
      </c>
      <c r="M23" s="146">
        <v>0</v>
      </c>
      <c r="N23" s="146">
        <v>0</v>
      </c>
      <c r="O23" s="146">
        <v>-1</v>
      </c>
      <c r="P23" s="146">
        <v>0</v>
      </c>
      <c r="Q23" s="146">
        <f t="shared" si="2"/>
        <v>-1</v>
      </c>
      <c r="R23" s="146">
        <v>0</v>
      </c>
      <c r="S23" s="146">
        <v>-1</v>
      </c>
      <c r="T23" s="146">
        <v>-1</v>
      </c>
      <c r="U23" s="146">
        <v>-1</v>
      </c>
      <c r="V23" s="146">
        <f t="shared" si="3"/>
        <v>-3</v>
      </c>
      <c r="W23" s="146">
        <v>0</v>
      </c>
      <c r="X23" s="146">
        <v>0</v>
      </c>
      <c r="Y23" s="146">
        <v>-1</v>
      </c>
      <c r="Z23" s="146">
        <v>0</v>
      </c>
      <c r="AA23" s="146">
        <f t="shared" si="4"/>
        <v>-1</v>
      </c>
      <c r="AB23" s="146">
        <v>0</v>
      </c>
      <c r="AC23" s="146">
        <v>0</v>
      </c>
      <c r="AD23" s="146">
        <v>0</v>
      </c>
      <c r="AE23" s="146">
        <v>-1</v>
      </c>
      <c r="AF23" s="146">
        <f t="shared" si="5"/>
        <v>-1</v>
      </c>
      <c r="AG23" s="160">
        <v>0</v>
      </c>
      <c r="AH23" s="78"/>
    </row>
    <row r="24" spans="2:34">
      <c r="B24" s="13"/>
      <c r="C24" s="13"/>
      <c r="D24" s="13"/>
      <c r="E24" s="12"/>
      <c r="F24" s="13"/>
      <c r="G24" s="13"/>
      <c r="H24" s="13"/>
      <c r="I24" s="13"/>
      <c r="J24" s="13"/>
      <c r="K24" s="13"/>
      <c r="L24" s="13"/>
      <c r="M24" s="13"/>
      <c r="N24" s="13"/>
      <c r="O24" s="13"/>
      <c r="P24" s="13"/>
      <c r="Q24" s="13"/>
      <c r="R24" s="13"/>
      <c r="S24" s="13"/>
      <c r="T24" s="1"/>
      <c r="U24" s="1"/>
      <c r="V24" s="13"/>
      <c r="W24" s="1"/>
      <c r="X24" s="1"/>
      <c r="Y24" s="1"/>
      <c r="Z24" s="1"/>
      <c r="AA24" s="13"/>
      <c r="AB24" s="1"/>
      <c r="AC24" s="1"/>
      <c r="AD24" s="1"/>
      <c r="AE24" s="1"/>
      <c r="AF24" s="13"/>
      <c r="AG24" s="1"/>
      <c r="AH24" s="78"/>
    </row>
    <row r="25" spans="2:34">
      <c r="B25" s="18"/>
      <c r="C25" s="18"/>
      <c r="D25" s="18"/>
      <c r="E25" s="18"/>
      <c r="F25" s="18"/>
      <c r="G25" s="18"/>
      <c r="H25" s="18"/>
      <c r="I25" s="18"/>
      <c r="J25" s="18"/>
      <c r="K25" s="18"/>
      <c r="L25" s="18"/>
      <c r="M25" s="18"/>
      <c r="N25" s="18"/>
      <c r="O25" s="18"/>
      <c r="P25" s="18"/>
      <c r="Q25" s="18"/>
      <c r="R25" s="18"/>
      <c r="S25" s="18"/>
      <c r="V25" s="18"/>
      <c r="AA25" s="18"/>
      <c r="AF25" s="18"/>
      <c r="AH25" s="78"/>
    </row>
    <row r="26" spans="2:34">
      <c r="B26" s="4" t="s">
        <v>193</v>
      </c>
      <c r="C26" s="7" t="s">
        <v>164</v>
      </c>
      <c r="D26" s="7" t="s">
        <v>176</v>
      </c>
      <c r="E26" s="7" t="s">
        <v>183</v>
      </c>
      <c r="F26" s="7" t="s">
        <v>185</v>
      </c>
      <c r="G26" s="7" t="s">
        <v>186</v>
      </c>
      <c r="H26" s="7" t="s">
        <v>188</v>
      </c>
      <c r="I26" s="7" t="s">
        <v>194</v>
      </c>
      <c r="J26" s="7" t="s">
        <v>196</v>
      </c>
      <c r="K26" s="7" t="s">
        <v>199</v>
      </c>
      <c r="L26" s="7" t="s">
        <v>200</v>
      </c>
      <c r="M26" s="7" t="s">
        <v>202</v>
      </c>
      <c r="N26" s="7" t="s">
        <v>211</v>
      </c>
      <c r="O26" s="7" t="s">
        <v>216</v>
      </c>
      <c r="P26" s="7" t="s">
        <v>218</v>
      </c>
      <c r="Q26" s="7" t="s">
        <v>219</v>
      </c>
      <c r="R26" s="7" t="s">
        <v>222</v>
      </c>
      <c r="S26" s="7" t="s">
        <v>235</v>
      </c>
      <c r="T26" s="7" t="s">
        <v>238</v>
      </c>
      <c r="U26" s="7" t="s">
        <v>240</v>
      </c>
      <c r="V26" s="7" t="s">
        <v>241</v>
      </c>
      <c r="W26" s="7" t="s">
        <v>243</v>
      </c>
      <c r="X26" s="7" t="s">
        <v>245</v>
      </c>
      <c r="Y26" s="7" t="str">
        <f>Y3</f>
        <v>Kv3 2023</v>
      </c>
      <c r="Z26" s="7" t="str">
        <f>Z3</f>
        <v>Kv4 2023</v>
      </c>
      <c r="AA26" s="7" t="s">
        <v>258</v>
      </c>
      <c r="AB26" s="7" t="s">
        <v>259</v>
      </c>
      <c r="AC26" s="7" t="str">
        <f>+AC3</f>
        <v>Kv2 2024</v>
      </c>
      <c r="AD26" s="7" t="str">
        <f>+AD3</f>
        <v>Kv3 2024</v>
      </c>
      <c r="AE26" s="7" t="str">
        <f>+AE3</f>
        <v>Kv4 2024</v>
      </c>
      <c r="AF26" s="7" t="str">
        <f>+$AF$3</f>
        <v>12M 2024</v>
      </c>
      <c r="AG26" s="7" t="str">
        <f>+$AG$3</f>
        <v>Kv1 2025</v>
      </c>
      <c r="AH26" s="78"/>
    </row>
    <row r="27" spans="2:34">
      <c r="B27" s="10" t="s">
        <v>169</v>
      </c>
      <c r="C27" s="86">
        <v>2.25</v>
      </c>
      <c r="D27" s="86">
        <v>2.09</v>
      </c>
      <c r="E27" s="86">
        <v>1.94</v>
      </c>
      <c r="F27" s="86">
        <v>-0.25</v>
      </c>
      <c r="G27" s="86">
        <v>6.02</v>
      </c>
      <c r="H27" s="86">
        <v>2.0299999999999998</v>
      </c>
      <c r="I27" s="86">
        <v>1.44</v>
      </c>
      <c r="J27" s="86">
        <v>1.59</v>
      </c>
      <c r="K27" s="86">
        <v>1.84</v>
      </c>
      <c r="L27" s="86">
        <v>6.9</v>
      </c>
      <c r="M27" s="86">
        <v>2.99</v>
      </c>
      <c r="N27" s="86">
        <v>2.63</v>
      </c>
      <c r="O27" s="86">
        <v>2.4900000000000002</v>
      </c>
      <c r="P27" s="86">
        <v>1.89</v>
      </c>
      <c r="Q27" s="86">
        <v>10</v>
      </c>
      <c r="R27" s="86">
        <v>3.17</v>
      </c>
      <c r="S27" s="86">
        <v>3.52</v>
      </c>
      <c r="T27" s="86">
        <v>3.33</v>
      </c>
      <c r="U27" s="86">
        <v>2.98</v>
      </c>
      <c r="V27" s="86">
        <v>13.01</v>
      </c>
      <c r="W27" s="86">
        <v>3.52</v>
      </c>
      <c r="X27" s="86">
        <v>3.55</v>
      </c>
      <c r="Y27" s="86">
        <v>3.84</v>
      </c>
      <c r="Z27" s="86">
        <v>3.4</v>
      </c>
      <c r="AA27" s="86">
        <v>14.31</v>
      </c>
      <c r="AB27" s="86">
        <v>4.0599999999999996</v>
      </c>
      <c r="AC27" s="86">
        <v>4.1399999999999997</v>
      </c>
      <c r="AD27" s="86">
        <v>3.54</v>
      </c>
      <c r="AE27" s="86">
        <v>3.99</v>
      </c>
      <c r="AF27" s="86">
        <f>+SUM(AB27:AE27)</f>
        <v>15.729999999999999</v>
      </c>
      <c r="AG27" s="86">
        <v>4.08</v>
      </c>
      <c r="AH27" s="78"/>
    </row>
    <row r="28" spans="2:34">
      <c r="B28" s="10" t="s">
        <v>12</v>
      </c>
      <c r="C28" s="86">
        <v>0.89</v>
      </c>
      <c r="D28" s="86">
        <v>0.89</v>
      </c>
      <c r="E28" s="86">
        <v>0.5</v>
      </c>
      <c r="F28" s="86">
        <v>-9.0399999999999991</v>
      </c>
      <c r="G28" s="86">
        <v>-6.76</v>
      </c>
      <c r="H28" s="86">
        <v>1.02</v>
      </c>
      <c r="I28" s="86">
        <v>0.67</v>
      </c>
      <c r="J28" s="86">
        <v>0.81</v>
      </c>
      <c r="K28" s="86">
        <v>0.6</v>
      </c>
      <c r="L28" s="86">
        <v>3.1</v>
      </c>
      <c r="M28" s="86">
        <v>1.08</v>
      </c>
      <c r="N28" s="86">
        <v>1.03</v>
      </c>
      <c r="O28" s="86">
        <v>0.72</v>
      </c>
      <c r="P28" s="86">
        <v>0.89</v>
      </c>
      <c r="Q28" s="86">
        <v>3.71</v>
      </c>
      <c r="R28" s="86">
        <v>1.63</v>
      </c>
      <c r="S28" s="113">
        <v>2.16</v>
      </c>
      <c r="T28" s="86">
        <v>1.46</v>
      </c>
      <c r="U28" s="86">
        <v>1.68</v>
      </c>
      <c r="V28" s="86">
        <v>6.93</v>
      </c>
      <c r="W28" s="86">
        <v>1.81</v>
      </c>
      <c r="X28" s="86">
        <v>24.12</v>
      </c>
      <c r="Y28" s="124">
        <v>0</v>
      </c>
      <c r="Z28" s="124">
        <v>0</v>
      </c>
      <c r="AA28" s="127">
        <v>25.93</v>
      </c>
      <c r="AB28" s="124">
        <v>0</v>
      </c>
      <c r="AC28" s="124">
        <v>0</v>
      </c>
      <c r="AD28" s="124">
        <v>0</v>
      </c>
      <c r="AE28" s="124">
        <v>0</v>
      </c>
      <c r="AF28" s="152" t="s">
        <v>312</v>
      </c>
      <c r="AG28" s="152" t="s">
        <v>312</v>
      </c>
      <c r="AH28" s="78"/>
    </row>
    <row r="29" spans="2:34">
      <c r="B29" s="14" t="s">
        <v>292</v>
      </c>
      <c r="C29" s="141">
        <f t="shared" ref="C29:Q29" si="144">SUM(C27:C28)</f>
        <v>3.14</v>
      </c>
      <c r="D29" s="141">
        <f t="shared" si="144"/>
        <v>2.98</v>
      </c>
      <c r="E29" s="141">
        <f t="shared" si="144"/>
        <v>2.44</v>
      </c>
      <c r="F29" s="141">
        <f t="shared" si="144"/>
        <v>-9.2899999999999991</v>
      </c>
      <c r="G29" s="141">
        <f t="shared" si="144"/>
        <v>-0.74000000000000021</v>
      </c>
      <c r="H29" s="141">
        <f t="shared" si="144"/>
        <v>3.05</v>
      </c>
      <c r="I29" s="141">
        <f t="shared" si="144"/>
        <v>2.11</v>
      </c>
      <c r="J29" s="141">
        <f t="shared" si="144"/>
        <v>2.4000000000000004</v>
      </c>
      <c r="K29" s="141">
        <f t="shared" si="144"/>
        <v>2.44</v>
      </c>
      <c r="L29" s="141">
        <f t="shared" si="144"/>
        <v>10</v>
      </c>
      <c r="M29" s="141">
        <f t="shared" si="144"/>
        <v>4.07</v>
      </c>
      <c r="N29" s="141">
        <f t="shared" si="144"/>
        <v>3.66</v>
      </c>
      <c r="O29" s="141">
        <f t="shared" si="144"/>
        <v>3.21</v>
      </c>
      <c r="P29" s="141">
        <f t="shared" si="144"/>
        <v>2.78</v>
      </c>
      <c r="Q29" s="141">
        <f t="shared" si="144"/>
        <v>13.71</v>
      </c>
      <c r="R29" s="141">
        <f t="shared" ref="R29" si="145">SUM(R27:R28)</f>
        <v>4.8</v>
      </c>
      <c r="S29" s="141">
        <f t="shared" ref="S29:T29" si="146">SUM(S27:S28)</f>
        <v>5.68</v>
      </c>
      <c r="T29" s="141">
        <f t="shared" si="146"/>
        <v>4.79</v>
      </c>
      <c r="U29" s="141">
        <f t="shared" ref="U29:V29" si="147">SUM(U27:U28)</f>
        <v>4.66</v>
      </c>
      <c r="V29" s="141">
        <f t="shared" si="147"/>
        <v>19.939999999999998</v>
      </c>
      <c r="W29" s="141">
        <f t="shared" ref="W29:X29" si="148">SUM(W27:W28)</f>
        <v>5.33</v>
      </c>
      <c r="X29" s="141">
        <f t="shared" si="148"/>
        <v>27.67</v>
      </c>
      <c r="Y29" s="141">
        <f t="shared" ref="Y29" si="149">SUM(Y27:Y28)</f>
        <v>3.84</v>
      </c>
      <c r="Z29" s="141">
        <f t="shared" ref="Z29:AB29" si="150">SUM(Z27:Z28)</f>
        <v>3.4</v>
      </c>
      <c r="AA29" s="141">
        <f t="shared" si="150"/>
        <v>40.24</v>
      </c>
      <c r="AB29" s="141">
        <f t="shared" si="150"/>
        <v>4.0599999999999996</v>
      </c>
      <c r="AC29" s="141">
        <f t="shared" ref="AC29:AE29" si="151">SUM(AC27:AC28)</f>
        <v>4.1399999999999997</v>
      </c>
      <c r="AD29" s="141">
        <f t="shared" si="151"/>
        <v>3.54</v>
      </c>
      <c r="AE29" s="141">
        <f t="shared" si="151"/>
        <v>3.99</v>
      </c>
      <c r="AF29" s="141">
        <f>SUM(AF27:AF28)</f>
        <v>15.729999999999999</v>
      </c>
      <c r="AG29" s="141">
        <f t="shared" ref="AG29" si="152">SUM(AG27:AG28)</f>
        <v>4.08</v>
      </c>
      <c r="AH29" s="78"/>
    </row>
    <row r="30" spans="2:34">
      <c r="B30" s="63" t="s">
        <v>220</v>
      </c>
      <c r="C30" s="64">
        <v>3.24</v>
      </c>
      <c r="D30" s="64">
        <v>3.36</v>
      </c>
      <c r="E30" s="64">
        <v>2.83</v>
      </c>
      <c r="F30" s="63">
        <v>2.44</v>
      </c>
      <c r="G30" s="63">
        <v>11.89</v>
      </c>
      <c r="H30" s="63">
        <v>3.21</v>
      </c>
      <c r="I30" s="63">
        <v>2.4700000000000002</v>
      </c>
      <c r="J30" s="63">
        <v>2.31</v>
      </c>
      <c r="K30" s="64">
        <v>2.9</v>
      </c>
      <c r="L30" s="63">
        <v>10.89</v>
      </c>
      <c r="M30" s="63">
        <v>3.82</v>
      </c>
      <c r="N30" s="63">
        <v>3.81</v>
      </c>
      <c r="O30" s="63">
        <v>3.32</v>
      </c>
      <c r="P30" s="86">
        <v>3.3</v>
      </c>
      <c r="Q30" s="86">
        <v>14.24</v>
      </c>
      <c r="R30" s="86">
        <v>4.9000000000000004</v>
      </c>
      <c r="S30" s="63">
        <v>5.81</v>
      </c>
      <c r="T30" s="64">
        <v>5</v>
      </c>
      <c r="U30" s="64">
        <v>5.0999999999999996</v>
      </c>
      <c r="V30" s="86">
        <v>20.81</v>
      </c>
      <c r="W30" s="64">
        <v>5.58</v>
      </c>
      <c r="X30" s="64">
        <v>28.83</v>
      </c>
      <c r="Y30" s="64">
        <v>4.1900000000000004</v>
      </c>
      <c r="Z30" s="64">
        <v>4.08</v>
      </c>
      <c r="AA30" s="86">
        <v>42.68</v>
      </c>
      <c r="AB30" s="64">
        <v>4.2300000000000004</v>
      </c>
      <c r="AC30" s="64">
        <v>4.49</v>
      </c>
      <c r="AD30" s="64">
        <v>3.78</v>
      </c>
      <c r="AE30" s="64">
        <v>4.24</v>
      </c>
      <c r="AF30" s="86">
        <f>+SUM(AB30:AE30)</f>
        <v>16.740000000000002</v>
      </c>
      <c r="AG30" s="64">
        <v>4.28</v>
      </c>
      <c r="AH30" s="78"/>
    </row>
    <row r="31" spans="2:34" s="9" customFormat="1">
      <c r="B31" s="63" t="s">
        <v>203</v>
      </c>
      <c r="C31" s="64">
        <v>2.35</v>
      </c>
      <c r="D31" s="64">
        <v>2.35</v>
      </c>
      <c r="E31" s="64">
        <v>2.2599999999999998</v>
      </c>
      <c r="F31" s="63">
        <v>2.44</v>
      </c>
      <c r="G31" s="64">
        <v>9.4</v>
      </c>
      <c r="H31" s="63">
        <v>2.14</v>
      </c>
      <c r="I31" s="63">
        <v>1.62</v>
      </c>
      <c r="J31" s="63">
        <v>1.47</v>
      </c>
      <c r="K31" s="64">
        <v>2.13</v>
      </c>
      <c r="L31" s="63">
        <v>7.36</v>
      </c>
      <c r="M31" s="63">
        <v>2.68</v>
      </c>
      <c r="N31" s="63">
        <v>2.75</v>
      </c>
      <c r="O31" s="63">
        <v>2.5499999999999998</v>
      </c>
      <c r="P31" s="63">
        <v>2.2799999999999998</v>
      </c>
      <c r="Q31" s="63">
        <v>10.26</v>
      </c>
      <c r="R31" s="63">
        <v>3.25</v>
      </c>
      <c r="S31" s="63">
        <v>3.63</v>
      </c>
      <c r="T31" s="63">
        <v>3.52</v>
      </c>
      <c r="U31" s="64">
        <v>3.4</v>
      </c>
      <c r="V31" s="64">
        <v>13.8</v>
      </c>
      <c r="W31" s="64">
        <v>3.66</v>
      </c>
      <c r="X31" s="64">
        <v>4.71</v>
      </c>
      <c r="Y31" s="64">
        <v>4.1900000000000004</v>
      </c>
      <c r="Z31" s="64">
        <v>4.08</v>
      </c>
      <c r="AA31" s="64">
        <v>16.64</v>
      </c>
      <c r="AB31" s="64">
        <v>4.2300000000000004</v>
      </c>
      <c r="AC31" s="64">
        <v>4.49</v>
      </c>
      <c r="AD31" s="64">
        <v>3.78</v>
      </c>
      <c r="AE31" s="64">
        <v>4.24</v>
      </c>
      <c r="AF31" s="64">
        <f>+SUM(AB31:AE31)</f>
        <v>16.740000000000002</v>
      </c>
      <c r="AG31" s="64">
        <v>4.28</v>
      </c>
      <c r="AH31" s="78"/>
    </row>
    <row r="32" spans="2:34">
      <c r="B32" s="142"/>
      <c r="C32" s="64"/>
      <c r="D32" s="64"/>
      <c r="E32" s="64"/>
      <c r="F32" s="63"/>
      <c r="G32" s="64"/>
      <c r="H32" s="63"/>
      <c r="I32" s="63"/>
      <c r="J32" s="63"/>
      <c r="K32" s="64"/>
      <c r="L32" s="63"/>
      <c r="M32" s="63"/>
      <c r="N32" s="63"/>
      <c r="O32" s="63"/>
      <c r="P32" s="63"/>
      <c r="Q32" s="63"/>
      <c r="R32" s="63"/>
      <c r="S32" s="63"/>
      <c r="T32" s="63"/>
      <c r="U32" s="64"/>
      <c r="V32" s="64"/>
      <c r="W32" s="64"/>
      <c r="X32" s="64"/>
      <c r="Y32" s="64"/>
      <c r="Z32" s="64"/>
      <c r="AA32" s="64"/>
      <c r="AB32" s="64"/>
      <c r="AC32" s="64"/>
      <c r="AD32" s="64"/>
      <c r="AE32" s="64"/>
      <c r="AF32" s="64"/>
      <c r="AG32" s="64"/>
      <c r="AH32" s="78"/>
    </row>
    <row r="33" spans="2:34">
      <c r="B33" s="74" t="s">
        <v>293</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78"/>
    </row>
    <row r="34" spans="2:34">
      <c r="B34" s="19" t="s">
        <v>225</v>
      </c>
      <c r="C34" s="20">
        <v>271071783</v>
      </c>
      <c r="D34" s="20">
        <v>271071783</v>
      </c>
      <c r="E34" s="20">
        <v>271071783</v>
      </c>
      <c r="F34" s="20">
        <v>271071783</v>
      </c>
      <c r="G34" s="20">
        <v>271071783</v>
      </c>
      <c r="H34" s="20">
        <v>271071783</v>
      </c>
      <c r="I34" s="20">
        <v>271071783</v>
      </c>
      <c r="J34" s="20">
        <v>271071783</v>
      </c>
      <c r="K34" s="20">
        <v>271071783</v>
      </c>
      <c r="L34" s="20">
        <v>271071783</v>
      </c>
      <c r="M34" s="20">
        <v>271071783</v>
      </c>
      <c r="N34" s="20">
        <v>271071783</v>
      </c>
      <c r="O34" s="20">
        <v>271071783</v>
      </c>
      <c r="P34" s="20">
        <v>271071783</v>
      </c>
      <c r="Q34" s="20">
        <v>271071783</v>
      </c>
      <c r="R34" s="20">
        <v>271071783</v>
      </c>
      <c r="S34" s="20">
        <v>271071783</v>
      </c>
      <c r="T34" s="20">
        <v>271071783</v>
      </c>
      <c r="U34" s="20">
        <v>271071783</v>
      </c>
      <c r="V34" s="20">
        <v>271071783</v>
      </c>
      <c r="W34" s="20">
        <v>271071783</v>
      </c>
      <c r="X34" s="20">
        <v>255125919</v>
      </c>
      <c r="Y34" s="20">
        <v>255125919</v>
      </c>
      <c r="Z34" s="20">
        <v>255125919</v>
      </c>
      <c r="AA34" s="20">
        <v>255125919</v>
      </c>
      <c r="AB34" s="20">
        <v>255125919</v>
      </c>
      <c r="AC34" s="20">
        <v>241547186</v>
      </c>
      <c r="AD34" s="20">
        <v>241547186</v>
      </c>
      <c r="AE34" s="20">
        <v>241547186</v>
      </c>
      <c r="AF34" s="20">
        <f>+AE34</f>
        <v>241547186</v>
      </c>
      <c r="AG34" s="20">
        <v>241547186</v>
      </c>
      <c r="AH34" s="78"/>
    </row>
    <row r="35" spans="2:34">
      <c r="B35" s="95" t="s">
        <v>309</v>
      </c>
      <c r="C35" s="17">
        <v>0</v>
      </c>
      <c r="D35" s="17">
        <v>0</v>
      </c>
      <c r="E35" s="17">
        <v>0</v>
      </c>
      <c r="F35" s="17">
        <v>0</v>
      </c>
      <c r="G35" s="17">
        <v>0</v>
      </c>
      <c r="H35" s="17">
        <v>0</v>
      </c>
      <c r="I35" s="17">
        <v>0</v>
      </c>
      <c r="J35" s="17">
        <v>0</v>
      </c>
      <c r="K35" s="17">
        <v>0</v>
      </c>
      <c r="L35" s="17">
        <v>0</v>
      </c>
      <c r="M35" s="17">
        <v>0</v>
      </c>
      <c r="N35" s="17">
        <v>0</v>
      </c>
      <c r="O35" s="17">
        <v>0</v>
      </c>
      <c r="P35" s="17">
        <v>0</v>
      </c>
      <c r="Q35" s="17">
        <v>0</v>
      </c>
      <c r="R35" s="20">
        <v>369968</v>
      </c>
      <c r="S35" s="20">
        <v>6750489</v>
      </c>
      <c r="T35" s="20">
        <v>12088501</v>
      </c>
      <c r="U35" s="20">
        <v>13691970</v>
      </c>
      <c r="V35" s="20">
        <v>13691970</v>
      </c>
      <c r="W35" s="20">
        <v>16199134</v>
      </c>
      <c r="X35" s="20">
        <v>3715732</v>
      </c>
      <c r="Y35" s="20">
        <v>8108836</v>
      </c>
      <c r="Z35" s="20">
        <v>11696591</v>
      </c>
      <c r="AA35" s="20">
        <v>11696591</v>
      </c>
      <c r="AB35" s="20">
        <v>14773278</v>
      </c>
      <c r="AC35" s="20">
        <v>3536102</v>
      </c>
      <c r="AD35" s="20">
        <v>5437628</v>
      </c>
      <c r="AE35" s="20">
        <v>9094230</v>
      </c>
      <c r="AF35" s="20">
        <f>+AE35</f>
        <v>9094230</v>
      </c>
      <c r="AG35" s="20">
        <v>11590248</v>
      </c>
      <c r="AH35" s="78"/>
    </row>
    <row r="36" spans="2:34">
      <c r="B36" s="19" t="s">
        <v>295</v>
      </c>
      <c r="C36" s="20">
        <v>271071783</v>
      </c>
      <c r="D36" s="20">
        <v>271071783</v>
      </c>
      <c r="E36" s="20">
        <v>271071783</v>
      </c>
      <c r="F36" s="20">
        <v>271071783</v>
      </c>
      <c r="G36" s="20">
        <v>271071783</v>
      </c>
      <c r="H36" s="20">
        <v>271071783</v>
      </c>
      <c r="I36" s="20">
        <v>271071783</v>
      </c>
      <c r="J36" s="20">
        <v>271071783</v>
      </c>
      <c r="K36" s="20">
        <v>271071783</v>
      </c>
      <c r="L36" s="20">
        <v>271071783</v>
      </c>
      <c r="M36" s="20">
        <v>271071783</v>
      </c>
      <c r="N36" s="20">
        <v>271071783</v>
      </c>
      <c r="O36" s="20">
        <v>271071783</v>
      </c>
      <c r="P36" s="20">
        <v>271071783</v>
      </c>
      <c r="Q36" s="20">
        <v>271071783</v>
      </c>
      <c r="R36" s="20">
        <v>271065428</v>
      </c>
      <c r="S36" s="20">
        <v>266727532</v>
      </c>
      <c r="T36" s="20">
        <v>259940103</v>
      </c>
      <c r="U36" s="20">
        <v>257803579</v>
      </c>
      <c r="V36" s="20">
        <v>263885220</v>
      </c>
      <c r="W36" s="20">
        <v>255707668</v>
      </c>
      <c r="X36" s="20">
        <v>252702014</v>
      </c>
      <c r="Y36" s="20">
        <v>248460458</v>
      </c>
      <c r="Z36" s="20">
        <v>244527357</v>
      </c>
      <c r="AA36" s="20">
        <v>250349374</v>
      </c>
      <c r="AB36" s="20">
        <v>241318462</v>
      </c>
      <c r="AC36" s="20">
        <v>238738671</v>
      </c>
      <c r="AD36" s="20">
        <v>236633571</v>
      </c>
      <c r="AE36" s="20">
        <v>233604607</v>
      </c>
      <c r="AF36" s="20">
        <v>237573828</v>
      </c>
      <c r="AG36" s="20">
        <v>230773406</v>
      </c>
      <c r="AH36" s="78"/>
    </row>
    <row r="37" spans="2:34">
      <c r="B37" s="142" t="s">
        <v>294</v>
      </c>
      <c r="C37" s="20"/>
      <c r="D37" s="20"/>
      <c r="E37" s="20"/>
      <c r="F37" s="19"/>
      <c r="G37" s="19"/>
      <c r="H37" s="19"/>
      <c r="I37" s="71"/>
      <c r="J37" s="71"/>
      <c r="K37" s="71"/>
      <c r="L37" s="71"/>
      <c r="M37" s="71"/>
      <c r="N37" s="71"/>
      <c r="O37" s="71"/>
      <c r="P37" s="71"/>
      <c r="Q37" s="71"/>
      <c r="R37" s="71"/>
      <c r="S37" s="71"/>
      <c r="V37" s="71"/>
      <c r="AA37" s="71"/>
      <c r="AF37" s="71"/>
      <c r="AH37" s="78"/>
    </row>
    <row r="38" spans="2:34">
      <c r="B38" s="61"/>
      <c r="C38" s="20"/>
      <c r="D38" s="19"/>
      <c r="E38" s="20"/>
      <c r="F38" s="19"/>
      <c r="G38" s="19"/>
      <c r="H38" s="19"/>
      <c r="I38" s="61"/>
      <c r="J38" s="61"/>
      <c r="K38" s="61"/>
      <c r="L38" s="61"/>
      <c r="M38" s="61"/>
      <c r="N38" s="61"/>
      <c r="O38" s="61"/>
      <c r="P38" s="61"/>
      <c r="Q38" s="61"/>
      <c r="R38" s="61"/>
      <c r="S38" s="61"/>
      <c r="V38" s="61"/>
      <c r="AA38" s="61"/>
      <c r="AF38" s="61"/>
      <c r="AH38" s="78"/>
    </row>
    <row r="39" spans="2:34">
      <c r="B39" s="81"/>
      <c r="C39" s="20"/>
      <c r="D39" s="20"/>
      <c r="E39" s="20"/>
      <c r="F39" s="19"/>
      <c r="G39" s="19"/>
      <c r="H39" s="19"/>
      <c r="I39" s="19"/>
      <c r="J39" s="19"/>
      <c r="K39" s="19"/>
      <c r="L39" s="19"/>
      <c r="M39" s="19"/>
      <c r="N39" s="19"/>
      <c r="O39" s="19"/>
      <c r="P39" s="19"/>
      <c r="Q39" s="19"/>
      <c r="R39" s="19"/>
      <c r="S39" s="81"/>
      <c r="V39" s="19"/>
      <c r="AA39" s="19"/>
      <c r="AF39" s="19"/>
      <c r="AH39" s="78"/>
    </row>
    <row r="40" spans="2:34">
      <c r="B40" s="4" t="s">
        <v>119</v>
      </c>
      <c r="C40" s="7" t="s">
        <v>164</v>
      </c>
      <c r="D40" s="7" t="s">
        <v>176</v>
      </c>
      <c r="E40" s="7" t="s">
        <v>183</v>
      </c>
      <c r="F40" s="7" t="s">
        <v>185</v>
      </c>
      <c r="G40" s="7" t="s">
        <v>186</v>
      </c>
      <c r="H40" s="7" t="s">
        <v>188</v>
      </c>
      <c r="I40" s="7" t="s">
        <v>194</v>
      </c>
      <c r="J40" s="7" t="s">
        <v>196</v>
      </c>
      <c r="K40" s="7" t="s">
        <v>199</v>
      </c>
      <c r="L40" s="7" t="s">
        <v>200</v>
      </c>
      <c r="M40" s="7" t="s">
        <v>202</v>
      </c>
      <c r="N40" s="7" t="s">
        <v>211</v>
      </c>
      <c r="O40" s="7" t="s">
        <v>216</v>
      </c>
      <c r="P40" s="7" t="s">
        <v>218</v>
      </c>
      <c r="Q40" s="7" t="s">
        <v>219</v>
      </c>
      <c r="R40" s="7" t="s">
        <v>222</v>
      </c>
      <c r="S40" s="7" t="s">
        <v>235</v>
      </c>
      <c r="T40" s="7" t="s">
        <v>238</v>
      </c>
      <c r="U40" s="7" t="s">
        <v>240</v>
      </c>
      <c r="V40" s="7" t="s">
        <v>241</v>
      </c>
      <c r="W40" s="7" t="s">
        <v>243</v>
      </c>
      <c r="X40" s="7" t="s">
        <v>245</v>
      </c>
      <c r="Y40" s="7" t="str">
        <f>Y3</f>
        <v>Kv3 2023</v>
      </c>
      <c r="Z40" s="7" t="str">
        <f>Z3</f>
        <v>Kv4 2023</v>
      </c>
      <c r="AA40" s="7" t="s">
        <v>258</v>
      </c>
      <c r="AB40" s="7" t="s">
        <v>259</v>
      </c>
      <c r="AC40" s="7" t="str">
        <f>+AC26</f>
        <v>Kv2 2024</v>
      </c>
      <c r="AD40" s="7" t="str">
        <f>+AD26</f>
        <v>Kv3 2024</v>
      </c>
      <c r="AE40" s="7" t="str">
        <f>+AE26</f>
        <v>Kv4 2024</v>
      </c>
      <c r="AF40" s="7" t="str">
        <f>+$AF$3</f>
        <v>12M 2024</v>
      </c>
      <c r="AG40" s="7" t="str">
        <f>+$AG$3</f>
        <v>Kv1 2025</v>
      </c>
      <c r="AH40" s="78"/>
    </row>
    <row r="41" spans="2:34">
      <c r="B41" s="52" t="s">
        <v>48</v>
      </c>
      <c r="C41" s="20">
        <f t="shared" ref="C41:AF41" si="153">C21</f>
        <v>852</v>
      </c>
      <c r="D41" s="20">
        <f t="shared" si="153"/>
        <v>806</v>
      </c>
      <c r="E41" s="20">
        <f t="shared" si="153"/>
        <v>662</v>
      </c>
      <c r="F41" s="20">
        <f t="shared" si="153"/>
        <v>-2519</v>
      </c>
      <c r="G41" s="20">
        <f t="shared" si="153"/>
        <v>-199</v>
      </c>
      <c r="H41" s="20">
        <f t="shared" si="153"/>
        <v>827</v>
      </c>
      <c r="I41" s="20">
        <f t="shared" si="153"/>
        <v>572</v>
      </c>
      <c r="J41" s="20">
        <f t="shared" si="153"/>
        <v>652</v>
      </c>
      <c r="K41" s="20">
        <f t="shared" si="153"/>
        <v>660</v>
      </c>
      <c r="L41" s="20">
        <f t="shared" si="153"/>
        <v>2711</v>
      </c>
      <c r="M41" s="20">
        <f t="shared" si="153"/>
        <v>1104</v>
      </c>
      <c r="N41" s="20">
        <f t="shared" si="153"/>
        <v>992</v>
      </c>
      <c r="O41" s="20">
        <f t="shared" si="153"/>
        <v>868</v>
      </c>
      <c r="P41" s="20">
        <f t="shared" si="153"/>
        <v>752</v>
      </c>
      <c r="Q41" s="20">
        <f t="shared" si="153"/>
        <v>3716</v>
      </c>
      <c r="R41" s="20">
        <f t="shared" si="153"/>
        <v>1303</v>
      </c>
      <c r="S41" s="20">
        <f t="shared" si="153"/>
        <v>1516</v>
      </c>
      <c r="T41" s="20">
        <f t="shared" si="153"/>
        <v>1242</v>
      </c>
      <c r="U41" s="20">
        <f t="shared" si="153"/>
        <v>1196</v>
      </c>
      <c r="V41" s="20">
        <f t="shared" si="153"/>
        <v>5257</v>
      </c>
      <c r="W41" s="20">
        <f t="shared" si="153"/>
        <v>1362</v>
      </c>
      <c r="X41" s="20">
        <f t="shared" si="153"/>
        <v>7027</v>
      </c>
      <c r="Y41" s="20">
        <f t="shared" si="153"/>
        <v>905</v>
      </c>
      <c r="Z41" s="20">
        <f t="shared" si="153"/>
        <v>780</v>
      </c>
      <c r="AA41" s="20">
        <f t="shared" si="153"/>
        <v>10074</v>
      </c>
      <c r="AB41" s="20">
        <f t="shared" si="153"/>
        <v>980</v>
      </c>
      <c r="AC41" s="20">
        <f t="shared" si="153"/>
        <v>988</v>
      </c>
      <c r="AD41" s="20">
        <f t="shared" si="153"/>
        <v>836</v>
      </c>
      <c r="AE41" s="20">
        <f t="shared" si="153"/>
        <v>932</v>
      </c>
      <c r="AF41" s="20">
        <f t="shared" si="153"/>
        <v>3736</v>
      </c>
      <c r="AG41" s="20">
        <f t="shared" ref="AG41" si="154">AG21</f>
        <v>941</v>
      </c>
      <c r="AH41" s="78"/>
    </row>
    <row r="42" spans="2:34">
      <c r="B42" s="37" t="s">
        <v>118</v>
      </c>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78"/>
    </row>
    <row r="43" spans="2:34">
      <c r="B43" s="37" t="s">
        <v>120</v>
      </c>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78"/>
    </row>
    <row r="44" spans="2:34">
      <c r="B44" s="19" t="s">
        <v>198</v>
      </c>
      <c r="C44" s="17">
        <v>0</v>
      </c>
      <c r="D44" s="17">
        <v>-76</v>
      </c>
      <c r="E44" s="17">
        <v>-98</v>
      </c>
      <c r="F44" s="17">
        <v>23</v>
      </c>
      <c r="G44" s="17">
        <f>SUM(C44:F44)</f>
        <v>-151</v>
      </c>
      <c r="H44" s="17">
        <v>0</v>
      </c>
      <c r="I44" s="17">
        <v>-7</v>
      </c>
      <c r="J44" s="17">
        <v>-47</v>
      </c>
      <c r="K44" s="17">
        <v>3</v>
      </c>
      <c r="L44" s="17">
        <f>SUM(H44:K44)</f>
        <v>-51</v>
      </c>
      <c r="M44" s="17">
        <v>16</v>
      </c>
      <c r="N44" s="100">
        <v>0</v>
      </c>
      <c r="O44" s="17">
        <v>11</v>
      </c>
      <c r="P44" s="17">
        <v>39</v>
      </c>
      <c r="Q44" s="17">
        <f>SUM(M44:P44)</f>
        <v>66</v>
      </c>
      <c r="R44" s="17">
        <v>75</v>
      </c>
      <c r="S44" s="17">
        <v>44</v>
      </c>
      <c r="T44" s="17">
        <v>-4</v>
      </c>
      <c r="U44" s="17">
        <v>30</v>
      </c>
      <c r="V44" s="17">
        <f>SUM(R44:U44)</f>
        <v>145</v>
      </c>
      <c r="W44" s="17">
        <v>-2</v>
      </c>
      <c r="X44" s="17">
        <v>-16</v>
      </c>
      <c r="Y44" s="17">
        <v>16</v>
      </c>
      <c r="Z44" s="17">
        <v>1</v>
      </c>
      <c r="AA44" s="17">
        <f>SUM(W44:Z44)</f>
        <v>-1</v>
      </c>
      <c r="AB44" s="132">
        <v>-24</v>
      </c>
      <c r="AC44" s="132">
        <v>5</v>
      </c>
      <c r="AD44" s="132">
        <v>-25</v>
      </c>
      <c r="AE44" s="132">
        <v>-19</v>
      </c>
      <c r="AF44" s="17">
        <f>SUM(AB44:AE44)</f>
        <v>-63</v>
      </c>
      <c r="AG44" s="132">
        <v>36</v>
      </c>
      <c r="AH44" s="78"/>
    </row>
    <row r="45" spans="2:34">
      <c r="B45" s="19" t="s">
        <v>121</v>
      </c>
      <c r="C45" s="17">
        <v>0</v>
      </c>
      <c r="D45" s="17">
        <v>16</v>
      </c>
      <c r="E45" s="17">
        <v>22</v>
      </c>
      <c r="F45" s="17">
        <v>-6</v>
      </c>
      <c r="G45" s="17">
        <f t="shared" ref="G45:G58" si="155">SUM(C45:F45)</f>
        <v>32</v>
      </c>
      <c r="H45" s="17">
        <v>0</v>
      </c>
      <c r="I45" s="13">
        <v>0</v>
      </c>
      <c r="J45" s="13">
        <v>10</v>
      </c>
      <c r="K45" s="49">
        <v>-4</v>
      </c>
      <c r="L45" s="17">
        <f>SUM(H45:K45)</f>
        <v>6</v>
      </c>
      <c r="M45" s="50">
        <v>-3</v>
      </c>
      <c r="N45" s="100">
        <v>0</v>
      </c>
      <c r="O45" s="17">
        <v>-2</v>
      </c>
      <c r="P45" s="17">
        <v>-5</v>
      </c>
      <c r="Q45" s="17">
        <f>SUM(M45:P45)</f>
        <v>-10</v>
      </c>
      <c r="R45" s="17">
        <v>-13</v>
      </c>
      <c r="S45" s="17">
        <v>-10</v>
      </c>
      <c r="T45" s="17">
        <v>-1</v>
      </c>
      <c r="U45" s="17">
        <v>-8</v>
      </c>
      <c r="V45" s="17">
        <f>SUM(R45:U45)</f>
        <v>-32</v>
      </c>
      <c r="W45" s="49">
        <v>0</v>
      </c>
      <c r="X45" s="49">
        <v>3</v>
      </c>
      <c r="Y45" s="49">
        <v>-3</v>
      </c>
      <c r="Z45" s="49">
        <v>0</v>
      </c>
      <c r="AA45" s="100">
        <f>SUM(W45:Z45)</f>
        <v>0</v>
      </c>
      <c r="AB45" s="100">
        <v>5</v>
      </c>
      <c r="AC45" s="100">
        <v>-1</v>
      </c>
      <c r="AD45" s="100">
        <v>5</v>
      </c>
      <c r="AE45" s="100">
        <v>3</v>
      </c>
      <c r="AF45" s="100">
        <f>SUM(AB45:AE45)</f>
        <v>12</v>
      </c>
      <c r="AG45" s="100">
        <v>-6</v>
      </c>
      <c r="AH45" s="78"/>
    </row>
    <row r="46" spans="2:34">
      <c r="B46" s="14" t="s">
        <v>122</v>
      </c>
      <c r="C46" s="58">
        <f t="shared" ref="C46" si="156">SUM(C44:C45)</f>
        <v>0</v>
      </c>
      <c r="D46" s="58">
        <f t="shared" ref="D46" si="157">SUM(D44:D45)</f>
        <v>-60</v>
      </c>
      <c r="E46" s="58">
        <f t="shared" ref="E46" si="158">SUM(E44:E45)</f>
        <v>-76</v>
      </c>
      <c r="F46" s="58">
        <f t="shared" ref="F46" si="159">SUM(F44:F45)</f>
        <v>17</v>
      </c>
      <c r="G46" s="58">
        <f t="shared" ref="G46" si="160">SUM(G44:G45)</f>
        <v>-119</v>
      </c>
      <c r="H46" s="58">
        <f t="shared" ref="H46" si="161">SUM(H44:H45)</f>
        <v>0</v>
      </c>
      <c r="I46" s="58">
        <f t="shared" ref="I46" si="162">SUM(I44:I45)</f>
        <v>-7</v>
      </c>
      <c r="J46" s="58">
        <f t="shared" ref="J46" si="163">SUM(J44:J45)</f>
        <v>-37</v>
      </c>
      <c r="K46" s="58">
        <f t="shared" ref="K46" si="164">SUM(K44:K45)</f>
        <v>-1</v>
      </c>
      <c r="L46" s="58">
        <f t="shared" ref="L46" si="165">SUM(L44:L45)</f>
        <v>-45</v>
      </c>
      <c r="M46" s="58">
        <f t="shared" ref="M46" si="166">SUM(M44:M45)</f>
        <v>13</v>
      </c>
      <c r="N46" s="58">
        <f t="shared" ref="N46" si="167">SUM(N44:N45)</f>
        <v>0</v>
      </c>
      <c r="O46" s="58">
        <f t="shared" ref="O46" si="168">SUM(O44:O45)</f>
        <v>9</v>
      </c>
      <c r="P46" s="58">
        <f t="shared" ref="P46" si="169">SUM(P44:P45)</f>
        <v>34</v>
      </c>
      <c r="Q46" s="58">
        <f t="shared" ref="Q46" si="170">SUM(Q44:Q45)</f>
        <v>56</v>
      </c>
      <c r="R46" s="58">
        <f t="shared" ref="R46" si="171">SUM(R44:R45)</f>
        <v>62</v>
      </c>
      <c r="S46" s="58">
        <f t="shared" ref="S46" si="172">SUM(S44:S45)</f>
        <v>34</v>
      </c>
      <c r="T46" s="58">
        <f t="shared" ref="T46:V46" si="173">SUM(T44:T45)</f>
        <v>-5</v>
      </c>
      <c r="U46" s="58">
        <f t="shared" si="173"/>
        <v>22</v>
      </c>
      <c r="V46" s="58">
        <f t="shared" si="173"/>
        <v>113</v>
      </c>
      <c r="W46" s="58">
        <f t="shared" ref="W46:X46" si="174">SUM(W44:W45)</f>
        <v>-2</v>
      </c>
      <c r="X46" s="58">
        <f t="shared" si="174"/>
        <v>-13</v>
      </c>
      <c r="Y46" s="58">
        <f t="shared" ref="Y46" si="175">SUM(Y44:Y45)</f>
        <v>13</v>
      </c>
      <c r="Z46" s="58">
        <f t="shared" ref="Z46:AB46" si="176">SUM(Z44:Z45)</f>
        <v>1</v>
      </c>
      <c r="AA46" s="58">
        <f t="shared" si="176"/>
        <v>-1</v>
      </c>
      <c r="AB46" s="58">
        <f t="shared" si="176"/>
        <v>-19</v>
      </c>
      <c r="AC46" s="58">
        <f t="shared" ref="AC46:AD46" si="177">SUM(AC44:AC45)</f>
        <v>4</v>
      </c>
      <c r="AD46" s="58">
        <f t="shared" si="177"/>
        <v>-20</v>
      </c>
      <c r="AE46" s="58">
        <f t="shared" ref="AE46:AG46" si="178">SUM(AE44:AE45)</f>
        <v>-16</v>
      </c>
      <c r="AF46" s="58">
        <f t="shared" si="178"/>
        <v>-51</v>
      </c>
      <c r="AG46" s="58">
        <f t="shared" si="178"/>
        <v>30</v>
      </c>
      <c r="AH46" s="78"/>
    </row>
    <row r="47" spans="2:34">
      <c r="B47" s="37" t="s">
        <v>123</v>
      </c>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78"/>
    </row>
    <row r="48" spans="2:34">
      <c r="B48" s="19" t="s">
        <v>124</v>
      </c>
      <c r="C48" s="20">
        <v>-59</v>
      </c>
      <c r="D48" s="20">
        <v>-65</v>
      </c>
      <c r="E48" s="20">
        <v>-41</v>
      </c>
      <c r="F48" s="20">
        <v>67</v>
      </c>
      <c r="G48" s="20">
        <f t="shared" si="155"/>
        <v>-98</v>
      </c>
      <c r="H48" s="20">
        <v>-127</v>
      </c>
      <c r="I48" s="20">
        <v>16</v>
      </c>
      <c r="J48" s="20">
        <v>0</v>
      </c>
      <c r="K48" s="20">
        <v>62</v>
      </c>
      <c r="L48" s="20">
        <f t="shared" ref="L48:L51" si="179">SUM(H48:K48)</f>
        <v>-49</v>
      </c>
      <c r="M48" s="20">
        <v>29</v>
      </c>
      <c r="N48" s="20">
        <v>27</v>
      </c>
      <c r="O48" s="20">
        <v>9</v>
      </c>
      <c r="P48" s="20">
        <v>56</v>
      </c>
      <c r="Q48" s="20">
        <f t="shared" ref="Q48:Q51" si="180">SUM(M48:P48)</f>
        <v>121</v>
      </c>
      <c r="R48" s="20">
        <v>160</v>
      </c>
      <c r="S48" s="20">
        <v>86</v>
      </c>
      <c r="T48" s="20">
        <v>120</v>
      </c>
      <c r="U48" s="20">
        <v>42</v>
      </c>
      <c r="V48" s="20">
        <f t="shared" ref="V48:V51" si="181">SUM(R48:U48)</f>
        <v>408</v>
      </c>
      <c r="W48" s="20">
        <v>-26</v>
      </c>
      <c r="X48" s="20">
        <v>-239</v>
      </c>
      <c r="Y48" s="20">
        <v>0</v>
      </c>
      <c r="Z48" s="20">
        <v>4</v>
      </c>
      <c r="AA48" s="20">
        <f t="shared" ref="AA48:AA51" si="182">SUM(W48:Z48)</f>
        <v>-261</v>
      </c>
      <c r="AB48" s="20">
        <v>-20</v>
      </c>
      <c r="AC48" s="20">
        <v>-8</v>
      </c>
      <c r="AD48" s="20">
        <v>-8</v>
      </c>
      <c r="AE48" s="20">
        <v>-30</v>
      </c>
      <c r="AF48" s="20">
        <f t="shared" ref="AF48:AF51" si="183">SUM(AB48:AE48)</f>
        <v>-66</v>
      </c>
      <c r="AG48" s="20">
        <v>18</v>
      </c>
      <c r="AH48" s="78"/>
    </row>
    <row r="49" spans="2:34">
      <c r="B49" s="19" t="s">
        <v>125</v>
      </c>
      <c r="C49" s="20">
        <v>-295</v>
      </c>
      <c r="D49" s="20">
        <v>-186</v>
      </c>
      <c r="E49" s="20">
        <v>-244</v>
      </c>
      <c r="F49" s="20">
        <v>335</v>
      </c>
      <c r="G49" s="20">
        <f t="shared" si="155"/>
        <v>-390</v>
      </c>
      <c r="H49" s="20">
        <v>-665</v>
      </c>
      <c r="I49" s="20">
        <v>680</v>
      </c>
      <c r="J49" s="20">
        <v>3</v>
      </c>
      <c r="K49" s="20">
        <v>561</v>
      </c>
      <c r="L49" s="20">
        <f t="shared" si="179"/>
        <v>579</v>
      </c>
      <c r="M49" s="20">
        <v>-242</v>
      </c>
      <c r="N49" s="20">
        <v>107</v>
      </c>
      <c r="O49" s="20">
        <v>-109</v>
      </c>
      <c r="P49" s="20">
        <v>-59</v>
      </c>
      <c r="Q49" s="20">
        <f t="shared" si="180"/>
        <v>-303</v>
      </c>
      <c r="R49" s="20">
        <v>-115</v>
      </c>
      <c r="S49" s="20">
        <v>-388</v>
      </c>
      <c r="T49" s="20">
        <v>-321</v>
      </c>
      <c r="U49" s="20">
        <v>-142</v>
      </c>
      <c r="V49" s="20">
        <f t="shared" si="181"/>
        <v>-966</v>
      </c>
      <c r="W49" s="20">
        <v>-126</v>
      </c>
      <c r="X49" s="20">
        <v>-125</v>
      </c>
      <c r="Y49" s="20">
        <v>245</v>
      </c>
      <c r="Z49" s="20">
        <v>441</v>
      </c>
      <c r="AA49" s="20">
        <f t="shared" si="182"/>
        <v>435</v>
      </c>
      <c r="AB49" s="20">
        <v>-431</v>
      </c>
      <c r="AC49" s="20">
        <v>137</v>
      </c>
      <c r="AD49" s="20">
        <v>120</v>
      </c>
      <c r="AE49" s="20">
        <v>-226</v>
      </c>
      <c r="AF49" s="20">
        <f t="shared" si="183"/>
        <v>-400</v>
      </c>
      <c r="AG49" s="20">
        <v>554</v>
      </c>
      <c r="AH49" s="78"/>
    </row>
    <row r="50" spans="2:34" ht="15.75">
      <c r="B50" s="19" t="s">
        <v>126</v>
      </c>
      <c r="C50" s="20">
        <v>1080</v>
      </c>
      <c r="D50" s="20">
        <v>451</v>
      </c>
      <c r="E50" s="20">
        <v>857</v>
      </c>
      <c r="F50" s="20">
        <v>-1154</v>
      </c>
      <c r="G50" s="20">
        <f t="shared" si="155"/>
        <v>1234</v>
      </c>
      <c r="H50" s="20">
        <v>1841</v>
      </c>
      <c r="I50" s="20">
        <v>-2400</v>
      </c>
      <c r="J50" s="20">
        <v>-354</v>
      </c>
      <c r="K50" s="20">
        <v>-2094</v>
      </c>
      <c r="L50" s="20">
        <f t="shared" si="179"/>
        <v>-3007</v>
      </c>
      <c r="M50" s="20">
        <v>1176</v>
      </c>
      <c r="N50" s="20">
        <v>-407</v>
      </c>
      <c r="O50" s="20">
        <v>519</v>
      </c>
      <c r="P50" s="20">
        <v>470</v>
      </c>
      <c r="Q50" s="20">
        <f t="shared" si="180"/>
        <v>1758</v>
      </c>
      <c r="R50" s="20">
        <v>405</v>
      </c>
      <c r="S50" s="20">
        <v>1978</v>
      </c>
      <c r="T50" s="20">
        <v>1719</v>
      </c>
      <c r="U50" s="20">
        <v>-328</v>
      </c>
      <c r="V50" s="20">
        <f t="shared" si="181"/>
        <v>3774</v>
      </c>
      <c r="W50" s="20">
        <v>462</v>
      </c>
      <c r="X50" s="20">
        <v>1597</v>
      </c>
      <c r="Y50" s="20">
        <v>-576</v>
      </c>
      <c r="Z50" s="20">
        <v>-2224</v>
      </c>
      <c r="AA50" s="20">
        <f t="shared" si="182"/>
        <v>-741</v>
      </c>
      <c r="AB50" s="20">
        <v>1789</v>
      </c>
      <c r="AC50" s="20">
        <v>-395</v>
      </c>
      <c r="AD50" s="20">
        <v>-995</v>
      </c>
      <c r="AE50" s="20">
        <v>1698</v>
      </c>
      <c r="AF50" s="20">
        <f t="shared" si="183"/>
        <v>2097</v>
      </c>
      <c r="AG50" s="20">
        <v>-3117</v>
      </c>
      <c r="AH50" s="78"/>
    </row>
    <row r="51" spans="2:34" ht="15.75">
      <c r="B51" s="19" t="s">
        <v>127</v>
      </c>
      <c r="C51" s="20">
        <v>69</v>
      </c>
      <c r="D51" s="20">
        <v>13</v>
      </c>
      <c r="E51" s="20">
        <v>8</v>
      </c>
      <c r="F51" s="20">
        <v>-13</v>
      </c>
      <c r="G51" s="20">
        <f t="shared" si="155"/>
        <v>77</v>
      </c>
      <c r="H51" s="20">
        <v>27</v>
      </c>
      <c r="I51" s="20">
        <v>-3</v>
      </c>
      <c r="J51" s="20">
        <v>1</v>
      </c>
      <c r="K51" s="20">
        <v>-122</v>
      </c>
      <c r="L51" s="20">
        <f t="shared" si="179"/>
        <v>-97</v>
      </c>
      <c r="M51" s="20">
        <v>-6</v>
      </c>
      <c r="N51" s="20">
        <v>-7</v>
      </c>
      <c r="O51" s="20">
        <v>45</v>
      </c>
      <c r="P51" s="20">
        <v>20</v>
      </c>
      <c r="Q51" s="20">
        <f t="shared" si="180"/>
        <v>52</v>
      </c>
      <c r="R51" s="20">
        <v>-11</v>
      </c>
      <c r="S51" s="20">
        <v>61</v>
      </c>
      <c r="T51" s="20">
        <v>41</v>
      </c>
      <c r="U51" s="20">
        <v>21</v>
      </c>
      <c r="V51" s="20">
        <f t="shared" si="181"/>
        <v>112</v>
      </c>
      <c r="W51" s="20">
        <v>31</v>
      </c>
      <c r="X51" s="20">
        <v>23</v>
      </c>
      <c r="Y51" s="20">
        <v>-51</v>
      </c>
      <c r="Z51" s="20">
        <v>-91</v>
      </c>
      <c r="AA51" s="20">
        <f t="shared" si="182"/>
        <v>-88</v>
      </c>
      <c r="AB51" s="20">
        <v>93</v>
      </c>
      <c r="AC51" s="20">
        <v>-27</v>
      </c>
      <c r="AD51" s="20">
        <v>-23</v>
      </c>
      <c r="AE51" s="20">
        <v>53</v>
      </c>
      <c r="AF51" s="20">
        <f t="shared" si="183"/>
        <v>96</v>
      </c>
      <c r="AG51" s="20">
        <v>-118</v>
      </c>
      <c r="AH51" s="78"/>
    </row>
    <row r="52" spans="2:34">
      <c r="B52" s="14" t="s">
        <v>122</v>
      </c>
      <c r="C52" s="15">
        <f t="shared" ref="C52" si="184">SUM(C48:C51)</f>
        <v>795</v>
      </c>
      <c r="D52" s="15">
        <f t="shared" ref="D52" si="185">SUM(D48:D51)</f>
        <v>213</v>
      </c>
      <c r="E52" s="15">
        <f t="shared" ref="E52" si="186">SUM(E48:E51)</f>
        <v>580</v>
      </c>
      <c r="F52" s="15">
        <f t="shared" ref="F52" si="187">SUM(F48:F51)</f>
        <v>-765</v>
      </c>
      <c r="G52" s="15">
        <f t="shared" ref="G52" si="188">SUM(G48:G51)</f>
        <v>823</v>
      </c>
      <c r="H52" s="15">
        <f t="shared" ref="H52" si="189">SUM(H48:H51)</f>
        <v>1076</v>
      </c>
      <c r="I52" s="15">
        <f t="shared" ref="I52" si="190">SUM(I48:I51)</f>
        <v>-1707</v>
      </c>
      <c r="J52" s="15">
        <f t="shared" ref="J52" si="191">SUM(J48:J51)</f>
        <v>-350</v>
      </c>
      <c r="K52" s="15">
        <f t="shared" ref="K52" si="192">SUM(K48:K51)</f>
        <v>-1593</v>
      </c>
      <c r="L52" s="15">
        <f t="shared" ref="L52" si="193">SUM(L48:L51)</f>
        <v>-2574</v>
      </c>
      <c r="M52" s="15">
        <f t="shared" ref="M52" si="194">SUM(M48:M51)</f>
        <v>957</v>
      </c>
      <c r="N52" s="15">
        <f t="shared" ref="N52" si="195">SUM(N48:N51)</f>
        <v>-280</v>
      </c>
      <c r="O52" s="15">
        <f t="shared" ref="O52" si="196">SUM(O48:O51)</f>
        <v>464</v>
      </c>
      <c r="P52" s="15">
        <f t="shared" ref="P52" si="197">SUM(P48:P51)</f>
        <v>487</v>
      </c>
      <c r="Q52" s="15">
        <f t="shared" ref="Q52" si="198">SUM(Q48:Q51)</f>
        <v>1628</v>
      </c>
      <c r="R52" s="15">
        <f t="shared" ref="R52" si="199">SUM(R48:R51)</f>
        <v>439</v>
      </c>
      <c r="S52" s="15">
        <f t="shared" ref="S52" si="200">SUM(S48:S51)</f>
        <v>1737</v>
      </c>
      <c r="T52" s="15">
        <f t="shared" ref="T52:V52" si="201">SUM(T48:T51)</f>
        <v>1559</v>
      </c>
      <c r="U52" s="15">
        <f t="shared" si="201"/>
        <v>-407</v>
      </c>
      <c r="V52" s="15">
        <f t="shared" si="201"/>
        <v>3328</v>
      </c>
      <c r="W52" s="15">
        <f t="shared" ref="W52:X52" si="202">SUM(W48:W51)</f>
        <v>341</v>
      </c>
      <c r="X52" s="15">
        <f t="shared" si="202"/>
        <v>1256</v>
      </c>
      <c r="Y52" s="15">
        <f t="shared" ref="Y52" si="203">SUM(Y48:Y51)</f>
        <v>-382</v>
      </c>
      <c r="Z52" s="15">
        <f t="shared" ref="Z52:AB52" si="204">SUM(Z48:Z51)</f>
        <v>-1870</v>
      </c>
      <c r="AA52" s="15">
        <f t="shared" si="204"/>
        <v>-655</v>
      </c>
      <c r="AB52" s="15">
        <f t="shared" si="204"/>
        <v>1431</v>
      </c>
      <c r="AC52" s="15">
        <f t="shared" ref="AC52:AD52" si="205">SUM(AC48:AC51)</f>
        <v>-293</v>
      </c>
      <c r="AD52" s="15">
        <f t="shared" si="205"/>
        <v>-906</v>
      </c>
      <c r="AE52" s="15">
        <f t="shared" ref="AE52:AG52" si="206">SUM(AE48:AE51)</f>
        <v>1495</v>
      </c>
      <c r="AF52" s="15">
        <f t="shared" si="206"/>
        <v>1727</v>
      </c>
      <c r="AG52" s="15">
        <f t="shared" si="206"/>
        <v>-2663</v>
      </c>
      <c r="AH52" s="78"/>
    </row>
    <row r="53" spans="2:34">
      <c r="B53" s="14" t="s">
        <v>128</v>
      </c>
      <c r="C53" s="15">
        <f t="shared" ref="C53" si="207">C46+C52</f>
        <v>795</v>
      </c>
      <c r="D53" s="15">
        <f t="shared" ref="D53" si="208">D46+D52</f>
        <v>153</v>
      </c>
      <c r="E53" s="15">
        <f t="shared" ref="E53" si="209">E46+E52</f>
        <v>504</v>
      </c>
      <c r="F53" s="15">
        <f t="shared" ref="F53" si="210">F46+F52</f>
        <v>-748</v>
      </c>
      <c r="G53" s="15">
        <f t="shared" ref="G53" si="211">G46+G52</f>
        <v>704</v>
      </c>
      <c r="H53" s="15">
        <f t="shared" ref="H53" si="212">H46+H52</f>
        <v>1076</v>
      </c>
      <c r="I53" s="15">
        <f t="shared" ref="I53" si="213">I46+I52</f>
        <v>-1714</v>
      </c>
      <c r="J53" s="15">
        <f t="shared" ref="J53" si="214">J46+J52</f>
        <v>-387</v>
      </c>
      <c r="K53" s="15">
        <f t="shared" ref="K53" si="215">K46+K52</f>
        <v>-1594</v>
      </c>
      <c r="L53" s="15">
        <f t="shared" ref="L53" si="216">L46+L52</f>
        <v>-2619</v>
      </c>
      <c r="M53" s="15">
        <f t="shared" ref="M53" si="217">M46+M52</f>
        <v>970</v>
      </c>
      <c r="N53" s="15">
        <f t="shared" ref="N53" si="218">N46+N52</f>
        <v>-280</v>
      </c>
      <c r="O53" s="15">
        <f t="shared" ref="O53" si="219">O46+O52</f>
        <v>473</v>
      </c>
      <c r="P53" s="15">
        <f t="shared" ref="P53" si="220">P46+P52</f>
        <v>521</v>
      </c>
      <c r="Q53" s="15">
        <f t="shared" ref="Q53" si="221">Q46+Q52</f>
        <v>1684</v>
      </c>
      <c r="R53" s="15">
        <f t="shared" ref="R53" si="222">R46+R52</f>
        <v>501</v>
      </c>
      <c r="S53" s="15">
        <f t="shared" ref="S53" si="223">S46+S52</f>
        <v>1771</v>
      </c>
      <c r="T53" s="15">
        <f t="shared" ref="T53:V53" si="224">T46+T52</f>
        <v>1554</v>
      </c>
      <c r="U53" s="15">
        <f t="shared" si="224"/>
        <v>-385</v>
      </c>
      <c r="V53" s="15">
        <f t="shared" si="224"/>
        <v>3441</v>
      </c>
      <c r="W53" s="15">
        <f t="shared" ref="W53:X53" si="225">W46+W52</f>
        <v>339</v>
      </c>
      <c r="X53" s="15">
        <f t="shared" si="225"/>
        <v>1243</v>
      </c>
      <c r="Y53" s="15">
        <f t="shared" ref="Y53" si="226">Y46+Y52</f>
        <v>-369</v>
      </c>
      <c r="Z53" s="15">
        <f t="shared" ref="Z53:AB53" si="227">Z46+Z52</f>
        <v>-1869</v>
      </c>
      <c r="AA53" s="15">
        <f t="shared" si="227"/>
        <v>-656</v>
      </c>
      <c r="AB53" s="15">
        <f t="shared" si="227"/>
        <v>1412</v>
      </c>
      <c r="AC53" s="15">
        <f t="shared" ref="AC53:AD53" si="228">AC46+AC52</f>
        <v>-289</v>
      </c>
      <c r="AD53" s="15">
        <f t="shared" si="228"/>
        <v>-926</v>
      </c>
      <c r="AE53" s="15">
        <f t="shared" ref="AE53:AG53" si="229">AE46+AE52</f>
        <v>1479</v>
      </c>
      <c r="AF53" s="15">
        <f t="shared" si="229"/>
        <v>1676</v>
      </c>
      <c r="AG53" s="15">
        <f t="shared" si="229"/>
        <v>-2633</v>
      </c>
      <c r="AH53" s="78"/>
    </row>
    <row r="54" spans="2:34">
      <c r="B54" s="14" t="s">
        <v>129</v>
      </c>
      <c r="C54" s="15">
        <f t="shared" ref="C54" si="230">C53+C41</f>
        <v>1647</v>
      </c>
      <c r="D54" s="15">
        <f t="shared" ref="D54" si="231">D53+D41</f>
        <v>959</v>
      </c>
      <c r="E54" s="15">
        <f t="shared" ref="E54" si="232">E53+E41</f>
        <v>1166</v>
      </c>
      <c r="F54" s="15">
        <f t="shared" ref="F54" si="233">F53+F41</f>
        <v>-3267</v>
      </c>
      <c r="G54" s="15">
        <f t="shared" ref="G54" si="234">G53+G41</f>
        <v>505</v>
      </c>
      <c r="H54" s="15">
        <f t="shared" ref="H54" si="235">H53+H41</f>
        <v>1903</v>
      </c>
      <c r="I54" s="15">
        <f t="shared" ref="I54" si="236">I53+I41</f>
        <v>-1142</v>
      </c>
      <c r="J54" s="15">
        <f t="shared" ref="J54" si="237">J53+J41</f>
        <v>265</v>
      </c>
      <c r="K54" s="15">
        <f t="shared" ref="K54" si="238">K53+K41</f>
        <v>-934</v>
      </c>
      <c r="L54" s="15">
        <f t="shared" ref="L54" si="239">L53+L41</f>
        <v>92</v>
      </c>
      <c r="M54" s="15">
        <f t="shared" ref="M54" si="240">M53+M41</f>
        <v>2074</v>
      </c>
      <c r="N54" s="15">
        <f t="shared" ref="N54" si="241">N53+N41</f>
        <v>712</v>
      </c>
      <c r="O54" s="15">
        <f t="shared" ref="O54" si="242">O53+O41</f>
        <v>1341</v>
      </c>
      <c r="P54" s="15">
        <f t="shared" ref="P54" si="243">P53+P41</f>
        <v>1273</v>
      </c>
      <c r="Q54" s="15">
        <f t="shared" ref="Q54" si="244">Q53+Q41</f>
        <v>5400</v>
      </c>
      <c r="R54" s="15">
        <f t="shared" ref="R54" si="245">R53+R41</f>
        <v>1804</v>
      </c>
      <c r="S54" s="15">
        <f t="shared" ref="S54" si="246">S53+S41</f>
        <v>3287</v>
      </c>
      <c r="T54" s="15">
        <f t="shared" ref="T54:V54" si="247">T53+T41</f>
        <v>2796</v>
      </c>
      <c r="U54" s="15">
        <f t="shared" si="247"/>
        <v>811</v>
      </c>
      <c r="V54" s="15">
        <f t="shared" si="247"/>
        <v>8698</v>
      </c>
      <c r="W54" s="15">
        <f t="shared" ref="W54:X54" si="248">W53+W41</f>
        <v>1701</v>
      </c>
      <c r="X54" s="15">
        <f t="shared" si="248"/>
        <v>8270</v>
      </c>
      <c r="Y54" s="15">
        <f t="shared" ref="Y54" si="249">Y53+Y41</f>
        <v>536</v>
      </c>
      <c r="Z54" s="15">
        <f t="shared" ref="Z54:AB54" si="250">Z53+Z41</f>
        <v>-1089</v>
      </c>
      <c r="AA54" s="15">
        <f t="shared" si="250"/>
        <v>9418</v>
      </c>
      <c r="AB54" s="15">
        <f t="shared" si="250"/>
        <v>2392</v>
      </c>
      <c r="AC54" s="15">
        <f t="shared" ref="AC54:AD54" si="251">AC53+AC41</f>
        <v>699</v>
      </c>
      <c r="AD54" s="15">
        <f t="shared" si="251"/>
        <v>-90</v>
      </c>
      <c r="AE54" s="15">
        <f t="shared" ref="AE54:AG54" si="252">AE53+AE41</f>
        <v>2411</v>
      </c>
      <c r="AF54" s="15">
        <f t="shared" si="252"/>
        <v>5412</v>
      </c>
      <c r="AG54" s="15">
        <f t="shared" si="252"/>
        <v>-1692</v>
      </c>
      <c r="AH54" s="78"/>
    </row>
    <row r="55" spans="2:34" ht="15.75" customHeight="1">
      <c r="B55" s="71"/>
      <c r="C55" s="19"/>
      <c r="D55" s="19"/>
      <c r="E55" s="19"/>
      <c r="F55" s="19"/>
      <c r="G55" s="19"/>
      <c r="H55" s="19"/>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8"/>
    </row>
    <row r="56" spans="2:34">
      <c r="B56" s="74" t="s">
        <v>201</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78"/>
    </row>
    <row r="57" spans="2:34">
      <c r="B57" s="10" t="s">
        <v>49</v>
      </c>
      <c r="C57" s="20">
        <v>1647</v>
      </c>
      <c r="D57" s="20">
        <v>959</v>
      </c>
      <c r="E57" s="20">
        <v>1166</v>
      </c>
      <c r="F57" s="20">
        <v>-3267</v>
      </c>
      <c r="G57" s="20">
        <f t="shared" si="155"/>
        <v>505</v>
      </c>
      <c r="H57" s="20">
        <v>1903</v>
      </c>
      <c r="I57" s="20">
        <v>-1142</v>
      </c>
      <c r="J57" s="20">
        <v>265</v>
      </c>
      <c r="K57" s="20">
        <v>-933</v>
      </c>
      <c r="L57" s="20">
        <v>93</v>
      </c>
      <c r="M57" s="20">
        <v>2074</v>
      </c>
      <c r="N57" s="20">
        <v>712</v>
      </c>
      <c r="O57" s="20">
        <v>1342</v>
      </c>
      <c r="P57" s="20">
        <v>1273</v>
      </c>
      <c r="Q57" s="20">
        <v>5401</v>
      </c>
      <c r="R57" s="20">
        <v>1804</v>
      </c>
      <c r="S57" s="20">
        <v>3287</v>
      </c>
      <c r="T57" s="20">
        <v>2796</v>
      </c>
      <c r="U57" s="20">
        <v>814</v>
      </c>
      <c r="V57" s="20">
        <v>8701</v>
      </c>
      <c r="W57" s="20">
        <v>1701</v>
      </c>
      <c r="X57" s="20">
        <v>8270</v>
      </c>
      <c r="Y57" s="20">
        <v>536</v>
      </c>
      <c r="Z57" s="20">
        <v>-1089</v>
      </c>
      <c r="AA57" s="20">
        <v>9418</v>
      </c>
      <c r="AB57" s="20">
        <v>2392</v>
      </c>
      <c r="AC57" s="20">
        <v>699</v>
      </c>
      <c r="AD57" s="20">
        <v>-90</v>
      </c>
      <c r="AE57" s="20">
        <v>2411</v>
      </c>
      <c r="AF57" s="20">
        <f>+SUM(AB57:AE57)</f>
        <v>5412</v>
      </c>
      <c r="AG57" s="20">
        <v>-1692</v>
      </c>
      <c r="AH57" s="78"/>
    </row>
    <row r="58" spans="2:34" s="9" customFormat="1">
      <c r="B58" s="13" t="s">
        <v>110</v>
      </c>
      <c r="C58" s="17">
        <v>0</v>
      </c>
      <c r="D58" s="17">
        <v>0</v>
      </c>
      <c r="E58" s="17">
        <v>0</v>
      </c>
      <c r="F58" s="13">
        <v>0</v>
      </c>
      <c r="G58" s="13">
        <f t="shared" si="155"/>
        <v>0</v>
      </c>
      <c r="H58" s="13">
        <v>0</v>
      </c>
      <c r="I58" s="13">
        <v>0</v>
      </c>
      <c r="J58" s="13">
        <v>0</v>
      </c>
      <c r="K58" s="17">
        <v>-1</v>
      </c>
      <c r="L58" s="17">
        <v>-1</v>
      </c>
      <c r="M58" s="13">
        <v>0</v>
      </c>
      <c r="N58" s="126">
        <v>0</v>
      </c>
      <c r="O58" s="13">
        <v>-1</v>
      </c>
      <c r="P58" s="126">
        <v>0</v>
      </c>
      <c r="Q58" s="17">
        <v>-1</v>
      </c>
      <c r="R58" s="13">
        <v>0</v>
      </c>
      <c r="S58" s="13">
        <v>0</v>
      </c>
      <c r="T58" s="13">
        <v>0</v>
      </c>
      <c r="U58" s="13">
        <v>-3</v>
      </c>
      <c r="V58" s="17">
        <v>-3</v>
      </c>
      <c r="W58" s="13">
        <v>0</v>
      </c>
      <c r="X58" s="13">
        <v>0</v>
      </c>
      <c r="Y58" s="13">
        <v>0</v>
      </c>
      <c r="Z58" s="13">
        <v>0</v>
      </c>
      <c r="AA58" s="13">
        <v>0</v>
      </c>
      <c r="AB58" s="13">
        <v>0</v>
      </c>
      <c r="AC58" s="13">
        <v>0</v>
      </c>
      <c r="AD58" s="13">
        <v>0</v>
      </c>
      <c r="AE58" s="13">
        <v>0</v>
      </c>
      <c r="AF58" s="13">
        <f>+SUM(AB58:AE58)</f>
        <v>0</v>
      </c>
      <c r="AG58" s="13">
        <v>0</v>
      </c>
      <c r="AH58" s="78"/>
    </row>
    <row r="59" spans="2:34">
      <c r="B59" s="71"/>
      <c r="C59" s="19"/>
      <c r="D59" s="19"/>
      <c r="E59" s="19"/>
      <c r="F59" s="19"/>
      <c r="G59" s="19"/>
      <c r="H59" s="19"/>
      <c r="I59" s="71"/>
      <c r="J59" s="71"/>
      <c r="K59" s="71"/>
      <c r="L59" s="71"/>
      <c r="M59" s="71"/>
      <c r="N59" s="71"/>
      <c r="O59" s="71"/>
      <c r="P59" s="71"/>
      <c r="Q59" s="71"/>
      <c r="R59" s="71"/>
      <c r="S59" s="71"/>
      <c r="V59" s="71"/>
      <c r="AA59" s="71"/>
      <c r="AF59" s="71"/>
      <c r="AH59" s="78"/>
    </row>
    <row r="60" spans="2:34">
      <c r="B60" s="81"/>
      <c r="C60" s="99"/>
      <c r="D60" s="99"/>
      <c r="E60" s="99"/>
      <c r="F60" s="99"/>
      <c r="G60" s="99"/>
      <c r="H60" s="99"/>
      <c r="I60" s="99"/>
      <c r="J60" s="99"/>
      <c r="K60" s="99"/>
      <c r="L60" s="99"/>
      <c r="M60" s="99"/>
      <c r="N60" s="99"/>
      <c r="O60" s="99"/>
      <c r="P60" s="99"/>
      <c r="Q60" s="99"/>
      <c r="R60" s="99"/>
      <c r="S60" s="99"/>
      <c r="V60" s="99"/>
      <c r="AA60" s="99"/>
      <c r="AF60" s="99"/>
      <c r="AH60" s="78"/>
    </row>
    <row r="61" spans="2:34">
      <c r="B61" s="21" t="s">
        <v>283</v>
      </c>
      <c r="C61" s="7" t="s">
        <v>164</v>
      </c>
      <c r="D61" s="7" t="s">
        <v>176</v>
      </c>
      <c r="E61" s="7" t="s">
        <v>183</v>
      </c>
      <c r="F61" s="7" t="s">
        <v>185</v>
      </c>
      <c r="G61" s="7" t="s">
        <v>186</v>
      </c>
      <c r="H61" s="7" t="s">
        <v>188</v>
      </c>
      <c r="I61" s="7" t="s">
        <v>194</v>
      </c>
      <c r="J61" s="7" t="s">
        <v>196</v>
      </c>
      <c r="K61" s="7" t="s">
        <v>199</v>
      </c>
      <c r="L61" s="7" t="s">
        <v>200</v>
      </c>
      <c r="M61" s="7" t="s">
        <v>202</v>
      </c>
      <c r="N61" s="7" t="s">
        <v>211</v>
      </c>
      <c r="O61" s="7" t="s">
        <v>216</v>
      </c>
      <c r="P61" s="7" t="s">
        <v>218</v>
      </c>
      <c r="Q61" s="7" t="s">
        <v>219</v>
      </c>
      <c r="R61" s="7" t="s">
        <v>222</v>
      </c>
      <c r="S61" s="7" t="s">
        <v>235</v>
      </c>
      <c r="T61" s="7" t="s">
        <v>238</v>
      </c>
      <c r="U61" s="7" t="s">
        <v>240</v>
      </c>
      <c r="V61" s="7" t="s">
        <v>241</v>
      </c>
      <c r="W61" s="7" t="s">
        <v>243</v>
      </c>
      <c r="X61" s="7" t="s">
        <v>245</v>
      </c>
      <c r="Y61" s="7" t="str">
        <f>Y3</f>
        <v>Kv3 2023</v>
      </c>
      <c r="Z61" s="7" t="str">
        <f>Z3</f>
        <v>Kv4 2023</v>
      </c>
      <c r="AA61" s="7" t="s">
        <v>258</v>
      </c>
      <c r="AB61" s="7" t="s">
        <v>259</v>
      </c>
      <c r="AC61" s="7" t="str">
        <f>+AC40</f>
        <v>Kv2 2024</v>
      </c>
      <c r="AD61" s="7" t="str">
        <f>+AD40</f>
        <v>Kv3 2024</v>
      </c>
      <c r="AE61" s="7" t="str">
        <f>+AE40</f>
        <v>Kv4 2024</v>
      </c>
      <c r="AF61" s="7" t="str">
        <f>+$AF$3</f>
        <v>12M 2024</v>
      </c>
      <c r="AG61" s="7" t="str">
        <f>+$AG$3</f>
        <v>Kv1 2025</v>
      </c>
      <c r="AH61" s="78"/>
    </row>
    <row r="62" spans="2:34">
      <c r="B62" s="57" t="s">
        <v>165</v>
      </c>
      <c r="C62" s="8"/>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78"/>
    </row>
    <row r="63" spans="2:34" ht="15" customHeight="1">
      <c r="B63" s="19" t="s">
        <v>19</v>
      </c>
      <c r="C63" s="87">
        <f>C70-C69-C65-C64-C67</f>
        <v>1246</v>
      </c>
      <c r="D63" s="87">
        <f>D70-D69-D65-D64-D67</f>
        <v>1282</v>
      </c>
      <c r="E63" s="87">
        <f>E70-E69-E65-E64-E67</f>
        <v>1229</v>
      </c>
      <c r="F63" s="87">
        <f>F70-F69-F65-F64-F67</f>
        <v>1224</v>
      </c>
      <c r="G63" s="87">
        <f>SUM(C63:F63)</f>
        <v>4981</v>
      </c>
      <c r="H63" s="87">
        <f>H70-H69-H65-H64-H67</f>
        <v>1181</v>
      </c>
      <c r="I63" s="87">
        <f>I70-I69-I65-I64-I67</f>
        <v>961</v>
      </c>
      <c r="J63" s="87">
        <f>J70-J69-J65-J64-J67</f>
        <v>995</v>
      </c>
      <c r="K63" s="87">
        <f>K70-K69-K65-K64-K67</f>
        <v>1161</v>
      </c>
      <c r="L63" s="87">
        <f>SUM(H63:K63)</f>
        <v>4298</v>
      </c>
      <c r="M63" s="87">
        <f>M70-M69-M65-M64-M67</f>
        <v>1280</v>
      </c>
      <c r="N63" s="87">
        <f>N70-N69-N65-N64-N67</f>
        <v>1334</v>
      </c>
      <c r="O63" s="87">
        <f>O70-O69-O65-O64-O67</f>
        <v>1256</v>
      </c>
      <c r="P63" s="87">
        <f>P70-P69-P65-P64-P67</f>
        <v>1237</v>
      </c>
      <c r="Q63" s="87">
        <f>SUM(M63:P63)</f>
        <v>5107</v>
      </c>
      <c r="R63" s="87">
        <f>R70-R69-R65-R64-R67</f>
        <v>1548</v>
      </c>
      <c r="S63" s="87">
        <f>S70-S69-S65-S64-S67</f>
        <v>1652</v>
      </c>
      <c r="T63" s="87">
        <f>T70-T69-T65-T64-T67</f>
        <v>1621</v>
      </c>
      <c r="U63" s="87">
        <f>U70-U69-U65-U64-U67</f>
        <v>1654</v>
      </c>
      <c r="V63" s="87">
        <f>SUM(R63:U63)</f>
        <v>6475</v>
      </c>
      <c r="W63" s="87">
        <f>W70-W69-W65-W64-W67</f>
        <v>1856</v>
      </c>
      <c r="X63" s="87">
        <f>X70-X69-X65-X64-X67</f>
        <v>1891</v>
      </c>
      <c r="Y63" s="87">
        <f>Y70-Y69-Y65-Y64-Y67</f>
        <v>1831</v>
      </c>
      <c r="Z63" s="87">
        <f>Z70-Z69-Z65-Z64-Z67</f>
        <v>1790</v>
      </c>
      <c r="AA63" s="87">
        <f>SUM(W63:Z63)</f>
        <v>7368</v>
      </c>
      <c r="AB63" s="87">
        <f>AB70-AB69-AB65-AB64-AB67</f>
        <v>1834</v>
      </c>
      <c r="AC63" s="87">
        <f>AC70-AC69-AC65-AC64-AC67</f>
        <v>1950</v>
      </c>
      <c r="AD63" s="87">
        <f>AD70-AD69-AD65-AD64-AD67</f>
        <v>1821</v>
      </c>
      <c r="AE63" s="87">
        <f>AE70-AE69-AE65-AE64-AE67</f>
        <v>1944</v>
      </c>
      <c r="AF63" s="87">
        <f>SUM(AB63:AE63)</f>
        <v>7549</v>
      </c>
      <c r="AG63" s="87">
        <f>AG70-AG69-AG65-AG64-AG67</f>
        <v>1982</v>
      </c>
      <c r="AH63" s="78"/>
    </row>
    <row r="64" spans="2:34">
      <c r="B64" s="19" t="s">
        <v>191</v>
      </c>
      <c r="C64" s="87">
        <v>-248</v>
      </c>
      <c r="D64" s="87">
        <v>-266</v>
      </c>
      <c r="E64" s="87">
        <v>-264</v>
      </c>
      <c r="F64" s="87">
        <v>-282</v>
      </c>
      <c r="G64" s="87">
        <f t="shared" ref="G64:G69" si="253">SUM(C64:F64)</f>
        <v>-1060</v>
      </c>
      <c r="H64" s="87">
        <v>-254</v>
      </c>
      <c r="I64" s="87">
        <v>-288</v>
      </c>
      <c r="J64" s="87">
        <v>-253</v>
      </c>
      <c r="K64" s="87">
        <f>-302+43</f>
        <v>-259</v>
      </c>
      <c r="L64" s="87">
        <f t="shared" ref="L64:L69" si="254">SUM(H64:K64)</f>
        <v>-1054</v>
      </c>
      <c r="M64" s="87">
        <v>-243</v>
      </c>
      <c r="N64" s="87">
        <v>-241</v>
      </c>
      <c r="O64" s="87">
        <v>-243</v>
      </c>
      <c r="P64" s="87">
        <v>-246</v>
      </c>
      <c r="Q64" s="87">
        <f t="shared" ref="Q64:Q69" si="255">SUM(M64:P64)</f>
        <v>-973</v>
      </c>
      <c r="R64" s="87">
        <v>-255</v>
      </c>
      <c r="S64" s="87">
        <v>-264</v>
      </c>
      <c r="T64" s="87">
        <v>-272</v>
      </c>
      <c r="U64" s="87">
        <v>-302</v>
      </c>
      <c r="V64" s="111">
        <f t="shared" ref="V64:V69" si="256">SUM(R64:U64)</f>
        <v>-1093</v>
      </c>
      <c r="W64" s="87">
        <v>-315</v>
      </c>
      <c r="X64" s="87">
        <v>-317</v>
      </c>
      <c r="Y64" s="87">
        <v>-328</v>
      </c>
      <c r="Z64" s="87">
        <v>-348</v>
      </c>
      <c r="AA64" s="111">
        <f t="shared" ref="AA64:AA69" si="257">SUM(W64:Z64)</f>
        <v>-1308</v>
      </c>
      <c r="AB64" s="87">
        <v>-322</v>
      </c>
      <c r="AC64" s="87">
        <v>-327</v>
      </c>
      <c r="AD64" s="87">
        <v>-332</v>
      </c>
      <c r="AE64" s="87">
        <v>-346</v>
      </c>
      <c r="AF64" s="111">
        <f t="shared" ref="AF64:AF69" si="258">SUM(AB64:AE64)</f>
        <v>-1327</v>
      </c>
      <c r="AG64" s="87">
        <v>-345</v>
      </c>
      <c r="AH64" s="78"/>
    </row>
    <row r="65" spans="1:34">
      <c r="B65" s="19" t="s">
        <v>192</v>
      </c>
      <c r="C65" s="87">
        <v>-14</v>
      </c>
      <c r="D65" s="87">
        <v>-12</v>
      </c>
      <c r="E65" s="87">
        <v>-13</v>
      </c>
      <c r="F65" s="87">
        <v>-14</v>
      </c>
      <c r="G65" s="87">
        <v>-53</v>
      </c>
      <c r="H65" s="87">
        <v>-10</v>
      </c>
      <c r="I65" s="87">
        <v>-9</v>
      </c>
      <c r="J65" s="87">
        <v>-10</v>
      </c>
      <c r="K65" s="87">
        <v>-11</v>
      </c>
      <c r="L65" s="87">
        <f t="shared" si="254"/>
        <v>-40</v>
      </c>
      <c r="M65" s="87">
        <v>-9</v>
      </c>
      <c r="N65" s="87">
        <v>-10</v>
      </c>
      <c r="O65" s="87">
        <v>-8</v>
      </c>
      <c r="P65" s="87">
        <v>-14</v>
      </c>
      <c r="Q65" s="87">
        <f t="shared" si="255"/>
        <v>-41</v>
      </c>
      <c r="R65" s="87">
        <v>-11</v>
      </c>
      <c r="S65" s="87">
        <v>-12</v>
      </c>
      <c r="T65" s="87">
        <v>-13</v>
      </c>
      <c r="U65" s="87">
        <v>-12</v>
      </c>
      <c r="V65" s="87">
        <f>SUM(R65:U65)</f>
        <v>-48</v>
      </c>
      <c r="W65" s="87">
        <v>-12</v>
      </c>
      <c r="X65" s="87">
        <v>-12</v>
      </c>
      <c r="Y65" s="87">
        <v>-16</v>
      </c>
      <c r="Z65" s="87">
        <v>-18</v>
      </c>
      <c r="AA65" s="87">
        <f>SUM(W65:Z65)</f>
        <v>-58</v>
      </c>
      <c r="AB65" s="87">
        <v>-22</v>
      </c>
      <c r="AC65" s="87">
        <v>-24</v>
      </c>
      <c r="AD65" s="87">
        <v>-25</v>
      </c>
      <c r="AE65" s="87">
        <v>-11</v>
      </c>
      <c r="AF65" s="87">
        <f>SUM(AB65:AE65)</f>
        <v>-82</v>
      </c>
      <c r="AG65" s="87">
        <v>-21</v>
      </c>
      <c r="AH65" s="78"/>
    </row>
    <row r="66" spans="1:34">
      <c r="B66" s="19" t="s">
        <v>166</v>
      </c>
      <c r="C66" s="87">
        <f>SUM(C63+C64+C65)</f>
        <v>984</v>
      </c>
      <c r="D66" s="87">
        <f>SUM(D63+D64+D65)</f>
        <v>1004</v>
      </c>
      <c r="E66" s="87">
        <f>SUM(E63+E64+E65)</f>
        <v>952</v>
      </c>
      <c r="F66" s="87">
        <f>SUM(F63+F64+F65)</f>
        <v>928</v>
      </c>
      <c r="G66" s="87">
        <f t="shared" si="253"/>
        <v>3868</v>
      </c>
      <c r="H66" s="87">
        <f>SUM(H63+H64+H65)</f>
        <v>917</v>
      </c>
      <c r="I66" s="87">
        <f>SUM(I63+I64+I65)</f>
        <v>664</v>
      </c>
      <c r="J66" s="87">
        <f>SUM(J63+J64+J65)</f>
        <v>732</v>
      </c>
      <c r="K66" s="87">
        <f>SUM(K63+K64+K65)</f>
        <v>891</v>
      </c>
      <c r="L66" s="87">
        <f t="shared" si="254"/>
        <v>3204</v>
      </c>
      <c r="M66" s="87">
        <f>SUM(M63+M64+M65)</f>
        <v>1028</v>
      </c>
      <c r="N66" s="114">
        <f>SUM(N63+N64+N65)+1</f>
        <v>1084</v>
      </c>
      <c r="O66" s="87">
        <f>SUM(O63+O64+O65)</f>
        <v>1005</v>
      </c>
      <c r="P66" s="87">
        <f>SUM(P63+P64+P65)</f>
        <v>977</v>
      </c>
      <c r="Q66" s="87">
        <f t="shared" si="255"/>
        <v>4094</v>
      </c>
      <c r="R66" s="87">
        <f t="shared" ref="R66:V66" si="259">SUM(R63+R64+R65)</f>
        <v>1282</v>
      </c>
      <c r="S66" s="87">
        <f t="shared" si="259"/>
        <v>1376</v>
      </c>
      <c r="T66" s="87">
        <f t="shared" si="259"/>
        <v>1336</v>
      </c>
      <c r="U66" s="87">
        <f t="shared" si="259"/>
        <v>1340</v>
      </c>
      <c r="V66" s="87">
        <f t="shared" si="259"/>
        <v>5334</v>
      </c>
      <c r="W66" s="87">
        <f>SUM(W63+W64+W65-1)</f>
        <v>1528</v>
      </c>
      <c r="X66" s="87">
        <f>SUM(X63+X64+X65+1)</f>
        <v>1563</v>
      </c>
      <c r="Y66" s="87">
        <f>SUM(Y63+Y64+Y65)</f>
        <v>1487</v>
      </c>
      <c r="Z66" s="87">
        <f>SUM(Z63+Z64+Z65)</f>
        <v>1424</v>
      </c>
      <c r="AA66" s="87">
        <f t="shared" ref="AA66" si="260">SUM(AA63+AA64+AA65)</f>
        <v>6002</v>
      </c>
      <c r="AB66" s="87">
        <f t="shared" ref="AB66:AG66" si="261">SUM(AB63+AB64+AB65)</f>
        <v>1490</v>
      </c>
      <c r="AC66" s="87">
        <f t="shared" si="261"/>
        <v>1599</v>
      </c>
      <c r="AD66" s="87">
        <f t="shared" si="261"/>
        <v>1464</v>
      </c>
      <c r="AE66" s="87">
        <f t="shared" si="261"/>
        <v>1587</v>
      </c>
      <c r="AF66" s="87">
        <f t="shared" si="261"/>
        <v>6140</v>
      </c>
      <c r="AG66" s="87">
        <f t="shared" si="261"/>
        <v>1616</v>
      </c>
      <c r="AH66" s="78"/>
    </row>
    <row r="67" spans="1:34">
      <c r="B67" s="119" t="s">
        <v>247</v>
      </c>
      <c r="C67" s="87">
        <v>-41</v>
      </c>
      <c r="D67" s="87">
        <v>-42</v>
      </c>
      <c r="E67" s="87">
        <v>-50</v>
      </c>
      <c r="F67" s="87">
        <v>-46</v>
      </c>
      <c r="G67" s="87">
        <v>-179</v>
      </c>
      <c r="H67" s="87">
        <v>-52</v>
      </c>
      <c r="I67" s="87">
        <v>-52</v>
      </c>
      <c r="J67" s="87">
        <v>-48</v>
      </c>
      <c r="K67" s="87">
        <v>-46</v>
      </c>
      <c r="L67" s="87">
        <f t="shared" si="254"/>
        <v>-198</v>
      </c>
      <c r="M67" s="87">
        <v>-46</v>
      </c>
      <c r="N67" s="87">
        <v>-47</v>
      </c>
      <c r="O67" s="87">
        <v>-48</v>
      </c>
      <c r="P67" s="87">
        <v>-49</v>
      </c>
      <c r="Q67" s="87">
        <f t="shared" si="255"/>
        <v>-190</v>
      </c>
      <c r="R67" s="87">
        <v>-52</v>
      </c>
      <c r="S67" s="87">
        <v>-57</v>
      </c>
      <c r="T67" s="87">
        <v>-58</v>
      </c>
      <c r="U67" s="87">
        <v>-101</v>
      </c>
      <c r="V67" s="87">
        <f>SUM(R67:U67)</f>
        <v>-268</v>
      </c>
      <c r="W67" s="87">
        <v>-118</v>
      </c>
      <c r="X67" s="87">
        <v>-120</v>
      </c>
      <c r="Y67" s="87">
        <v>-126</v>
      </c>
      <c r="Z67" s="87">
        <v>-120</v>
      </c>
      <c r="AA67" s="87">
        <f>SUM(W67:Z67)</f>
        <v>-484</v>
      </c>
      <c r="AB67" s="87">
        <v>-111</v>
      </c>
      <c r="AC67" s="87">
        <v>-116</v>
      </c>
      <c r="AD67" s="87">
        <v>-144</v>
      </c>
      <c r="AE67" s="87">
        <v>-167</v>
      </c>
      <c r="AF67" s="87">
        <f>SUM(AB67:AE67)</f>
        <v>-538</v>
      </c>
      <c r="AG67" s="87">
        <v>-154</v>
      </c>
      <c r="AH67" s="78"/>
    </row>
    <row r="68" spans="1:34">
      <c r="B68" s="19" t="s">
        <v>15</v>
      </c>
      <c r="C68" s="87">
        <f>SUM(C66:C67)</f>
        <v>943</v>
      </c>
      <c r="D68" s="87">
        <f>SUM(D66:D67)</f>
        <v>962</v>
      </c>
      <c r="E68" s="87">
        <f>SUM(E66:E67)</f>
        <v>902</v>
      </c>
      <c r="F68" s="87">
        <f>SUM(F66:F67)</f>
        <v>882</v>
      </c>
      <c r="G68" s="87">
        <f>SUM(C68:F68)</f>
        <v>3689</v>
      </c>
      <c r="H68" s="87">
        <f>SUM(H66:H67)</f>
        <v>865</v>
      </c>
      <c r="I68" s="87">
        <f>SUM(I66:I67)</f>
        <v>612</v>
      </c>
      <c r="J68" s="87">
        <f>SUM(J66:J67)</f>
        <v>684</v>
      </c>
      <c r="K68" s="87">
        <f>SUM(K66:K67)</f>
        <v>845</v>
      </c>
      <c r="L68" s="87">
        <f>SUM(H68:K68)</f>
        <v>3006</v>
      </c>
      <c r="M68" s="87">
        <f>SUM(M66:M67)</f>
        <v>982</v>
      </c>
      <c r="N68" s="114">
        <f>SUM(N66:N67)-1</f>
        <v>1036</v>
      </c>
      <c r="O68" s="87">
        <f>SUM(O66:O67)</f>
        <v>957</v>
      </c>
      <c r="P68" s="87">
        <f>SUM(P66:P67)</f>
        <v>928</v>
      </c>
      <c r="Q68" s="87">
        <f>SUM(M68:P68)</f>
        <v>3903</v>
      </c>
      <c r="R68" s="87">
        <f>SUM(R66:R67)</f>
        <v>1230</v>
      </c>
      <c r="S68" s="87">
        <f>SUM(S66:S67)</f>
        <v>1319</v>
      </c>
      <c r="T68" s="87">
        <f>SUM(T66:T67)</f>
        <v>1278</v>
      </c>
      <c r="U68" s="87">
        <f>SUM(U66:U67)</f>
        <v>1239</v>
      </c>
      <c r="V68" s="87">
        <f>SUM(R68:U68)</f>
        <v>5066</v>
      </c>
      <c r="W68" s="87">
        <f>SUM(W66:W67)+1</f>
        <v>1411</v>
      </c>
      <c r="X68" s="87">
        <f>SUM(X66:X67)-1</f>
        <v>1442</v>
      </c>
      <c r="Y68" s="87">
        <f>SUM(Y66:Y67)</f>
        <v>1361</v>
      </c>
      <c r="Z68" s="87">
        <f>SUM(Z66:Z67)</f>
        <v>1304</v>
      </c>
      <c r="AA68" s="87">
        <f>SUM(W68:Z68)</f>
        <v>5518</v>
      </c>
      <c r="AB68" s="87">
        <f>SUM(AB66:AB67)</f>
        <v>1379</v>
      </c>
      <c r="AC68" s="87">
        <f>SUM(AC66:AC67)</f>
        <v>1483</v>
      </c>
      <c r="AD68" s="87">
        <f>SUM(AD66:AD67)</f>
        <v>1320</v>
      </c>
      <c r="AE68" s="87">
        <f>SUM(AE66:AE67)</f>
        <v>1420</v>
      </c>
      <c r="AF68" s="87">
        <f>SUM(AB68:AE68)</f>
        <v>5602</v>
      </c>
      <c r="AG68" s="87">
        <v>1462</v>
      </c>
      <c r="AH68" s="78"/>
    </row>
    <row r="69" spans="1:34">
      <c r="B69" s="19" t="s">
        <v>45</v>
      </c>
      <c r="C69" s="22">
        <f t="shared" ref="C69:F70" si="262">C14</f>
        <v>-14</v>
      </c>
      <c r="D69" s="22">
        <f t="shared" si="262"/>
        <v>-75</v>
      </c>
      <c r="E69" s="22">
        <f t="shared" si="262"/>
        <v>-101</v>
      </c>
      <c r="F69" s="22">
        <f t="shared" si="262"/>
        <v>-827</v>
      </c>
      <c r="G69" s="22">
        <f t="shared" si="253"/>
        <v>-1017</v>
      </c>
      <c r="H69" s="22">
        <f t="shared" ref="H69:K70" si="263">H14</f>
        <v>-27</v>
      </c>
      <c r="I69" s="22">
        <f t="shared" si="263"/>
        <v>-55</v>
      </c>
      <c r="J69" s="22">
        <f t="shared" si="263"/>
        <v>-71</v>
      </c>
      <c r="K69" s="22">
        <f t="shared" si="263"/>
        <v>-107</v>
      </c>
      <c r="L69" s="22">
        <f t="shared" si="254"/>
        <v>-260</v>
      </c>
      <c r="M69" s="22">
        <f t="shared" ref="M69:P70" si="264">M14</f>
        <v>105</v>
      </c>
      <c r="N69" s="106">
        <f t="shared" si="264"/>
        <v>-40</v>
      </c>
      <c r="O69" s="22">
        <f t="shared" si="264"/>
        <v>-20</v>
      </c>
      <c r="P69" s="22">
        <f t="shared" si="264"/>
        <v>-128</v>
      </c>
      <c r="Q69" s="22">
        <f t="shared" si="255"/>
        <v>-83</v>
      </c>
      <c r="R69" s="22">
        <f t="shared" ref="R69:U70" si="265">R14</f>
        <v>-25</v>
      </c>
      <c r="S69" s="106">
        <f t="shared" si="265"/>
        <v>-33</v>
      </c>
      <c r="T69" s="22">
        <f t="shared" si="265"/>
        <v>-68</v>
      </c>
      <c r="U69" s="22">
        <f t="shared" si="265"/>
        <v>-115</v>
      </c>
      <c r="V69" s="22">
        <f t="shared" si="256"/>
        <v>-241</v>
      </c>
      <c r="W69" s="22">
        <f t="shared" ref="W69:Z70" si="266">W14</f>
        <v>-49</v>
      </c>
      <c r="X69" s="106">
        <f t="shared" si="266"/>
        <v>-194</v>
      </c>
      <c r="Y69" s="106">
        <f t="shared" si="266"/>
        <v>-111</v>
      </c>
      <c r="Z69" s="106">
        <f t="shared" si="266"/>
        <v>-260</v>
      </c>
      <c r="AA69" s="22">
        <f t="shared" si="257"/>
        <v>-614</v>
      </c>
      <c r="AB69" s="22">
        <f t="shared" ref="AB69:AE70" si="267">AB14</f>
        <v>-55</v>
      </c>
      <c r="AC69" s="22">
        <f t="shared" si="267"/>
        <v>-111</v>
      </c>
      <c r="AD69" s="22">
        <f t="shared" si="267"/>
        <v>-73</v>
      </c>
      <c r="AE69" s="22">
        <f t="shared" si="267"/>
        <v>-76</v>
      </c>
      <c r="AF69" s="22">
        <f t="shared" si="258"/>
        <v>-315</v>
      </c>
      <c r="AG69" s="22">
        <f>AG14</f>
        <v>-61</v>
      </c>
      <c r="AH69" s="78"/>
    </row>
    <row r="70" spans="1:34">
      <c r="B70" s="23" t="s">
        <v>282</v>
      </c>
      <c r="C70" s="24">
        <f t="shared" si="262"/>
        <v>929</v>
      </c>
      <c r="D70" s="24">
        <f t="shared" si="262"/>
        <v>887</v>
      </c>
      <c r="E70" s="24">
        <f t="shared" si="262"/>
        <v>801</v>
      </c>
      <c r="F70" s="24">
        <f t="shared" si="262"/>
        <v>55</v>
      </c>
      <c r="G70" s="24">
        <f>G15</f>
        <v>2672</v>
      </c>
      <c r="H70" s="24">
        <f t="shared" si="263"/>
        <v>838</v>
      </c>
      <c r="I70" s="24">
        <f t="shared" si="263"/>
        <v>557</v>
      </c>
      <c r="J70" s="24">
        <f t="shared" si="263"/>
        <v>613</v>
      </c>
      <c r="K70" s="24">
        <f t="shared" si="263"/>
        <v>738</v>
      </c>
      <c r="L70" s="24">
        <f>L15</f>
        <v>2746</v>
      </c>
      <c r="M70" s="24">
        <f t="shared" si="264"/>
        <v>1087</v>
      </c>
      <c r="N70" s="24">
        <f t="shared" si="264"/>
        <v>996</v>
      </c>
      <c r="O70" s="24">
        <f t="shared" si="264"/>
        <v>937</v>
      </c>
      <c r="P70" s="24">
        <f t="shared" si="264"/>
        <v>800</v>
      </c>
      <c r="Q70" s="24">
        <f>Q15</f>
        <v>3820</v>
      </c>
      <c r="R70" s="24">
        <f t="shared" si="265"/>
        <v>1205</v>
      </c>
      <c r="S70" s="24">
        <f t="shared" si="265"/>
        <v>1286</v>
      </c>
      <c r="T70" s="24">
        <f t="shared" si="265"/>
        <v>1210</v>
      </c>
      <c r="U70" s="24">
        <f t="shared" si="265"/>
        <v>1124</v>
      </c>
      <c r="V70" s="24">
        <f>V15</f>
        <v>4825</v>
      </c>
      <c r="W70" s="24">
        <f t="shared" si="266"/>
        <v>1362</v>
      </c>
      <c r="X70" s="24">
        <f t="shared" si="266"/>
        <v>1248</v>
      </c>
      <c r="Y70" s="24">
        <f t="shared" si="266"/>
        <v>1250</v>
      </c>
      <c r="Z70" s="24">
        <f t="shared" si="266"/>
        <v>1044</v>
      </c>
      <c r="AA70" s="24">
        <f>AA15</f>
        <v>4904</v>
      </c>
      <c r="AB70" s="24">
        <f t="shared" si="267"/>
        <v>1324</v>
      </c>
      <c r="AC70" s="24">
        <f t="shared" si="267"/>
        <v>1372</v>
      </c>
      <c r="AD70" s="24">
        <f t="shared" si="267"/>
        <v>1247</v>
      </c>
      <c r="AE70" s="24">
        <f t="shared" si="267"/>
        <v>1344</v>
      </c>
      <c r="AF70" s="24">
        <f>AF15</f>
        <v>5287</v>
      </c>
      <c r="AG70" s="24">
        <f t="shared" ref="AG70" si="268">AG15</f>
        <v>1401</v>
      </c>
      <c r="AH70" s="78"/>
    </row>
    <row r="71" spans="1:34">
      <c r="B71" s="13" t="s">
        <v>262</v>
      </c>
      <c r="C71" s="25">
        <f t="shared" ref="C71:X71" si="269">C63/C4</f>
        <v>0.20783986655546288</v>
      </c>
      <c r="D71" s="25">
        <f t="shared" si="269"/>
        <v>0.21183079973562458</v>
      </c>
      <c r="E71" s="25">
        <f t="shared" si="269"/>
        <v>0.20767151064548833</v>
      </c>
      <c r="F71" s="25">
        <f t="shared" si="269"/>
        <v>0.20468227424749164</v>
      </c>
      <c r="G71" s="25">
        <f t="shared" si="269"/>
        <v>0.2080183754437252</v>
      </c>
      <c r="H71" s="25">
        <f t="shared" si="269"/>
        <v>0.1960816868670098</v>
      </c>
      <c r="I71" s="25">
        <f t="shared" si="269"/>
        <v>0.19277833500501504</v>
      </c>
      <c r="J71" s="25">
        <f t="shared" si="269"/>
        <v>0.19598187906243844</v>
      </c>
      <c r="K71" s="25">
        <f t="shared" si="269"/>
        <v>0.21464226289517471</v>
      </c>
      <c r="L71" s="25">
        <f t="shared" si="269"/>
        <v>0.1999627803107844</v>
      </c>
      <c r="M71" s="25">
        <f t="shared" si="269"/>
        <v>0.2198557196839574</v>
      </c>
      <c r="N71" s="115">
        <f t="shared" si="269"/>
        <v>0.21944398749794375</v>
      </c>
      <c r="O71" s="25">
        <f t="shared" si="269"/>
        <v>0.21389645776566757</v>
      </c>
      <c r="P71" s="25">
        <f t="shared" si="269"/>
        <v>0.20561835106382978</v>
      </c>
      <c r="Q71" s="25">
        <f t="shared" si="269"/>
        <v>0.21467905334398252</v>
      </c>
      <c r="R71" s="25">
        <f t="shared" si="269"/>
        <v>0.21818181818181817</v>
      </c>
      <c r="S71" s="115">
        <f t="shared" si="269"/>
        <v>0.2247313290708747</v>
      </c>
      <c r="T71" s="25">
        <f t="shared" si="269"/>
        <v>0.21510084925690021</v>
      </c>
      <c r="U71" s="25">
        <f t="shared" si="269"/>
        <v>0.20387033156662146</v>
      </c>
      <c r="V71" s="25">
        <f t="shared" si="269"/>
        <v>0.21515201860774216</v>
      </c>
      <c r="W71" s="25">
        <f t="shared" si="269"/>
        <v>0.21306394214211916</v>
      </c>
      <c r="X71" s="107">
        <f t="shared" si="269"/>
        <v>0.21745630174793007</v>
      </c>
      <c r="Y71" s="107">
        <f>(Y63+1)/Y4</f>
        <v>0.21659966895247104</v>
      </c>
      <c r="Z71" s="107">
        <f>(Z63+1)/Z4</f>
        <v>0.21268257926612041</v>
      </c>
      <c r="AA71" s="25">
        <f t="shared" ref="AA71:AE71" si="270">AA63/AA4</f>
        <v>0.21489820918159017</v>
      </c>
      <c r="AB71" s="25">
        <f>AB63/AB4</f>
        <v>0.22273500121447656</v>
      </c>
      <c r="AC71" s="25">
        <f t="shared" si="270"/>
        <v>0.22385489610836873</v>
      </c>
      <c r="AD71" s="25">
        <f t="shared" si="270"/>
        <v>0.21570717839374556</v>
      </c>
      <c r="AE71" s="25">
        <f t="shared" si="270"/>
        <v>0.22133667311852442</v>
      </c>
      <c r="AF71" s="25">
        <f>AF63/AF4</f>
        <v>0.22092478782557801</v>
      </c>
      <c r="AG71" s="25">
        <f t="shared" ref="AG71" si="271">AG63/AG4</f>
        <v>0.22355064290548163</v>
      </c>
      <c r="AH71" s="78"/>
    </row>
    <row r="72" spans="1:34">
      <c r="B72" s="13" t="s">
        <v>263</v>
      </c>
      <c r="C72" s="25">
        <f t="shared" ref="C72:AF72" si="272">C66/C4</f>
        <v>0.16413678065054213</v>
      </c>
      <c r="D72" s="25">
        <f t="shared" si="272"/>
        <v>0.16589557171183081</v>
      </c>
      <c r="E72" s="25">
        <f t="shared" si="272"/>
        <v>0.16086515714768504</v>
      </c>
      <c r="F72" s="25">
        <f t="shared" si="272"/>
        <v>0.15518394648829431</v>
      </c>
      <c r="G72" s="25">
        <f t="shared" si="272"/>
        <v>0.16153685529338066</v>
      </c>
      <c r="H72" s="25">
        <f t="shared" si="272"/>
        <v>0.15224970944711938</v>
      </c>
      <c r="I72" s="25">
        <f t="shared" si="272"/>
        <v>0.13319959879638918</v>
      </c>
      <c r="J72" s="25">
        <f t="shared" si="272"/>
        <v>0.14417963364191452</v>
      </c>
      <c r="K72" s="25">
        <f t="shared" si="272"/>
        <v>0.16472545757071547</v>
      </c>
      <c r="L72" s="25">
        <f t="shared" si="272"/>
        <v>0.14906485530845817</v>
      </c>
      <c r="M72" s="25">
        <f t="shared" si="272"/>
        <v>0.17657162487117828</v>
      </c>
      <c r="N72" s="25">
        <f t="shared" si="272"/>
        <v>0.17831880243461096</v>
      </c>
      <c r="O72" s="25">
        <f t="shared" si="272"/>
        <v>0.17115122615803816</v>
      </c>
      <c r="P72" s="25">
        <f t="shared" si="272"/>
        <v>0.1624002659574468</v>
      </c>
      <c r="Q72" s="25">
        <f t="shared" si="272"/>
        <v>0.17209634705115809</v>
      </c>
      <c r="R72" s="115">
        <f t="shared" si="272"/>
        <v>0.18069062720225512</v>
      </c>
      <c r="S72" s="25">
        <f t="shared" si="272"/>
        <v>0.18718541695007482</v>
      </c>
      <c r="T72" s="25">
        <f t="shared" si="272"/>
        <v>0.17728237791932058</v>
      </c>
      <c r="U72" s="25">
        <f t="shared" si="272"/>
        <v>0.16516701590040675</v>
      </c>
      <c r="V72" s="25">
        <f t="shared" si="272"/>
        <v>0.17723874397740488</v>
      </c>
      <c r="W72" s="25">
        <f t="shared" si="272"/>
        <v>0.17541040064286534</v>
      </c>
      <c r="X72" s="107">
        <f t="shared" si="272"/>
        <v>0.1797378104875805</v>
      </c>
      <c r="Y72" s="107">
        <f t="shared" si="272"/>
        <v>0.17580988413336487</v>
      </c>
      <c r="Z72" s="116">
        <f t="shared" si="272"/>
        <v>0.16910105688160551</v>
      </c>
      <c r="AA72" s="25">
        <f t="shared" si="272"/>
        <v>0.17505687452604562</v>
      </c>
      <c r="AB72" s="25">
        <f t="shared" si="272"/>
        <v>0.18095700752975469</v>
      </c>
      <c r="AC72" s="25">
        <f t="shared" si="272"/>
        <v>0.18356101480886236</v>
      </c>
      <c r="AD72" s="25">
        <f t="shared" si="272"/>
        <v>0.17341862117981521</v>
      </c>
      <c r="AE72" s="25">
        <f t="shared" si="272"/>
        <v>0.18068996925879541</v>
      </c>
      <c r="AF72" s="25">
        <f t="shared" si="272"/>
        <v>0.17968978636230612</v>
      </c>
      <c r="AG72" s="25">
        <f t="shared" ref="AG72" si="273">AG66/AG4</f>
        <v>0.18226934355966615</v>
      </c>
      <c r="AH72" s="78"/>
    </row>
    <row r="73" spans="1:34">
      <c r="B73" s="13" t="s">
        <v>264</v>
      </c>
      <c r="C73" s="25">
        <f t="shared" ref="C73:AF73" si="274">C68/C4</f>
        <v>0.15729774812343619</v>
      </c>
      <c r="D73" s="25">
        <f t="shared" si="274"/>
        <v>0.158955717118308</v>
      </c>
      <c r="E73" s="25">
        <f t="shared" si="274"/>
        <v>0.15241635687732341</v>
      </c>
      <c r="F73" s="25">
        <f t="shared" si="274"/>
        <v>0.14749163879598662</v>
      </c>
      <c r="G73" s="25">
        <f t="shared" si="274"/>
        <v>0.15406139068699101</v>
      </c>
      <c r="H73" s="25">
        <f t="shared" si="274"/>
        <v>0.14361613813714097</v>
      </c>
      <c r="I73" s="25">
        <f t="shared" si="274"/>
        <v>0.12276830491474423</v>
      </c>
      <c r="J73" s="25">
        <f t="shared" si="274"/>
        <v>0.13472523143588733</v>
      </c>
      <c r="K73" s="25">
        <f t="shared" si="274"/>
        <v>0.15622111295988167</v>
      </c>
      <c r="L73" s="25">
        <f t="shared" si="274"/>
        <v>0.1398529822275984</v>
      </c>
      <c r="M73" s="25">
        <f t="shared" si="274"/>
        <v>0.16867055994503607</v>
      </c>
      <c r="N73" s="25">
        <f t="shared" si="274"/>
        <v>0.17042276690245106</v>
      </c>
      <c r="O73" s="25">
        <f t="shared" si="274"/>
        <v>0.16297683923705722</v>
      </c>
      <c r="P73" s="25">
        <f t="shared" si="274"/>
        <v>0.15425531914893617</v>
      </c>
      <c r="Q73" s="25">
        <f t="shared" si="274"/>
        <v>0.16406742612131658</v>
      </c>
      <c r="R73" s="25">
        <f t="shared" si="274"/>
        <v>0.17336152219873149</v>
      </c>
      <c r="S73" s="25">
        <f t="shared" si="274"/>
        <v>0.17943136988164876</v>
      </c>
      <c r="T73" s="25">
        <f t="shared" si="274"/>
        <v>0.16958598726114649</v>
      </c>
      <c r="U73" s="25">
        <f t="shared" si="274"/>
        <v>0.15271786022433131</v>
      </c>
      <c r="V73" s="25">
        <f t="shared" si="274"/>
        <v>0.16833361023425819</v>
      </c>
      <c r="W73" s="25">
        <f t="shared" si="274"/>
        <v>0.16197910687636322</v>
      </c>
      <c r="X73" s="107">
        <f t="shared" si="274"/>
        <v>0.16582336706531739</v>
      </c>
      <c r="Y73" s="107">
        <f t="shared" si="274"/>
        <v>0.16091274532986521</v>
      </c>
      <c r="Z73" s="107">
        <f t="shared" si="274"/>
        <v>0.15485096781854887</v>
      </c>
      <c r="AA73" s="25">
        <f t="shared" si="274"/>
        <v>0.16094032549728751</v>
      </c>
      <c r="AB73" s="25">
        <f t="shared" si="274"/>
        <v>0.16747631770706825</v>
      </c>
      <c r="AC73" s="25">
        <f t="shared" si="274"/>
        <v>0.17024451842497992</v>
      </c>
      <c r="AD73" s="25">
        <f t="shared" si="274"/>
        <v>0.15636105188343993</v>
      </c>
      <c r="AE73" s="25">
        <f t="shared" si="274"/>
        <v>0.1616759649322555</v>
      </c>
      <c r="AF73" s="25">
        <f t="shared" si="274"/>
        <v>0.16394498097746563</v>
      </c>
      <c r="AG73" s="25">
        <f t="shared" ref="AG73" si="275">AG68/AG4</f>
        <v>0.16489961651251975</v>
      </c>
      <c r="AH73" s="78"/>
    </row>
    <row r="74" spans="1:34">
      <c r="B74" s="13"/>
      <c r="C74" s="25"/>
      <c r="D74" s="25"/>
      <c r="E74" s="25"/>
      <c r="F74" s="25"/>
      <c r="G74" s="25"/>
      <c r="H74" s="25"/>
      <c r="I74" s="25"/>
      <c r="J74" s="25"/>
      <c r="K74" s="25"/>
      <c r="L74" s="25"/>
      <c r="M74" s="25"/>
      <c r="N74" s="25"/>
      <c r="O74" s="25"/>
      <c r="P74" s="25"/>
      <c r="Q74" s="25"/>
      <c r="R74" s="25"/>
      <c r="S74" s="25"/>
      <c r="T74" s="25"/>
      <c r="U74" s="25"/>
      <c r="V74" s="25"/>
      <c r="W74" s="25"/>
      <c r="X74" s="107"/>
      <c r="Y74" s="107"/>
      <c r="Z74" s="107"/>
      <c r="AA74" s="25"/>
      <c r="AB74" s="25"/>
      <c r="AC74" s="25"/>
      <c r="AD74" s="25"/>
      <c r="AE74" s="25"/>
      <c r="AF74" s="25"/>
      <c r="AG74" s="25"/>
      <c r="AH74" s="78"/>
    </row>
    <row r="75" spans="1:34">
      <c r="B75" s="88"/>
      <c r="C75" s="25"/>
      <c r="D75" s="25"/>
      <c r="E75" s="25"/>
      <c r="F75" s="25"/>
      <c r="G75" s="25"/>
      <c r="H75" s="25"/>
      <c r="I75" s="25"/>
      <c r="J75" s="25"/>
      <c r="K75" s="25"/>
      <c r="L75" s="25"/>
      <c r="M75" s="25"/>
      <c r="N75" s="25"/>
      <c r="O75" s="25"/>
      <c r="P75" s="25"/>
      <c r="Q75" s="25"/>
      <c r="R75" s="25"/>
      <c r="S75" s="88"/>
      <c r="V75" s="25"/>
      <c r="AA75" s="25"/>
      <c r="AF75" s="25"/>
      <c r="AH75" s="78"/>
    </row>
    <row r="76" spans="1:34">
      <c r="B76" s="21" t="s">
        <v>234</v>
      </c>
      <c r="C76" s="7" t="s">
        <v>164</v>
      </c>
      <c r="D76" s="7" t="s">
        <v>176</v>
      </c>
      <c r="E76" s="7" t="s">
        <v>183</v>
      </c>
      <c r="F76" s="7" t="s">
        <v>185</v>
      </c>
      <c r="G76" s="7" t="s">
        <v>186</v>
      </c>
      <c r="H76" s="7" t="s">
        <v>188</v>
      </c>
      <c r="I76" s="7" t="s">
        <v>194</v>
      </c>
      <c r="J76" s="7" t="s">
        <v>196</v>
      </c>
      <c r="K76" s="7" t="s">
        <v>199</v>
      </c>
      <c r="L76" s="7" t="s">
        <v>200</v>
      </c>
      <c r="M76" s="7" t="s">
        <v>202</v>
      </c>
      <c r="N76" s="7" t="s">
        <v>211</v>
      </c>
      <c r="O76" s="7" t="s">
        <v>216</v>
      </c>
      <c r="P76" s="7" t="s">
        <v>218</v>
      </c>
      <c r="Q76" s="7" t="s">
        <v>219</v>
      </c>
      <c r="R76" s="7" t="s">
        <v>222</v>
      </c>
      <c r="S76" s="7" t="s">
        <v>235</v>
      </c>
      <c r="T76" s="7" t="s">
        <v>238</v>
      </c>
      <c r="U76" s="7" t="s">
        <v>240</v>
      </c>
      <c r="V76" s="7" t="s">
        <v>241</v>
      </c>
      <c r="W76" s="7" t="s">
        <v>243</v>
      </c>
      <c r="X76" s="7" t="s">
        <v>245</v>
      </c>
      <c r="Y76" s="7" t="str">
        <f>Y3</f>
        <v>Kv3 2023</v>
      </c>
      <c r="Z76" s="7" t="str">
        <f>Z3</f>
        <v>Kv4 2023</v>
      </c>
      <c r="AA76" s="7" t="s">
        <v>258</v>
      </c>
      <c r="AB76" s="7" t="s">
        <v>259</v>
      </c>
      <c r="AC76" s="7" t="str">
        <f>+AC61</f>
        <v>Kv2 2024</v>
      </c>
      <c r="AD76" s="7" t="str">
        <f>+AD61</f>
        <v>Kv3 2024</v>
      </c>
      <c r="AE76" s="7" t="str">
        <f>+AE61</f>
        <v>Kv4 2024</v>
      </c>
      <c r="AF76" s="7" t="str">
        <f>+$AF$3</f>
        <v>12M 2024</v>
      </c>
      <c r="AG76" s="7" t="str">
        <f>+$AG$3</f>
        <v>Kv1 2025</v>
      </c>
      <c r="AH76" s="78"/>
    </row>
    <row r="77" spans="1:34" s="56" customFormat="1">
      <c r="A77" s="1"/>
      <c r="B77" s="89" t="s">
        <v>163</v>
      </c>
      <c r="C77" s="11">
        <v>322</v>
      </c>
      <c r="D77" s="11">
        <v>362</v>
      </c>
      <c r="E77" s="11">
        <v>366</v>
      </c>
      <c r="F77" s="11">
        <v>374</v>
      </c>
      <c r="G77" s="11">
        <v>374</v>
      </c>
      <c r="H77" s="11">
        <v>385</v>
      </c>
      <c r="I77" s="11">
        <v>344</v>
      </c>
      <c r="J77" s="11">
        <v>340</v>
      </c>
      <c r="K77" s="11">
        <v>330</v>
      </c>
      <c r="L77" s="11">
        <v>330</v>
      </c>
      <c r="M77" s="11">
        <v>286</v>
      </c>
      <c r="N77" s="11">
        <v>272</v>
      </c>
      <c r="O77" s="90">
        <v>257</v>
      </c>
      <c r="P77" s="90">
        <v>234</v>
      </c>
      <c r="Q77" s="90">
        <v>234</v>
      </c>
      <c r="R77" s="90">
        <v>222</v>
      </c>
      <c r="S77" s="90">
        <v>210</v>
      </c>
      <c r="T77" s="90">
        <v>221</v>
      </c>
      <c r="U77" s="90">
        <v>303</v>
      </c>
      <c r="V77" s="90">
        <v>303</v>
      </c>
      <c r="W77" s="90">
        <v>476</v>
      </c>
      <c r="X77" s="90">
        <v>542</v>
      </c>
      <c r="Y77" s="90">
        <v>515</v>
      </c>
      <c r="Z77" s="90">
        <v>422</v>
      </c>
      <c r="AA77" s="90">
        <v>422</v>
      </c>
      <c r="AB77" s="90">
        <v>221</v>
      </c>
      <c r="AC77" s="90">
        <v>169</v>
      </c>
      <c r="AD77" s="90">
        <v>237</v>
      </c>
      <c r="AE77" s="90">
        <v>317</v>
      </c>
      <c r="AF77" s="90">
        <f>+AE77</f>
        <v>317</v>
      </c>
      <c r="AG77" s="90">
        <v>430</v>
      </c>
      <c r="AH77" s="78"/>
    </row>
    <row r="78" spans="1:34" s="56" customFormat="1">
      <c r="B78" s="89" t="s">
        <v>113</v>
      </c>
      <c r="C78" s="11">
        <v>5955</v>
      </c>
      <c r="D78" s="11">
        <v>6044</v>
      </c>
      <c r="E78" s="11">
        <v>5999</v>
      </c>
      <c r="F78" s="11">
        <v>6066</v>
      </c>
      <c r="G78" s="11">
        <v>6066</v>
      </c>
      <c r="H78" s="11">
        <v>5995</v>
      </c>
      <c r="I78" s="11">
        <v>5652</v>
      </c>
      <c r="J78" s="11">
        <v>5617</v>
      </c>
      <c r="K78" s="11">
        <v>5817</v>
      </c>
      <c r="L78" s="11">
        <v>5817</v>
      </c>
      <c r="M78" s="11">
        <v>6070</v>
      </c>
      <c r="N78" s="11">
        <v>6555</v>
      </c>
      <c r="O78" s="90">
        <v>6835</v>
      </c>
      <c r="P78" s="90">
        <v>6931</v>
      </c>
      <c r="Q78" s="90">
        <v>6931</v>
      </c>
      <c r="R78" s="90">
        <v>7253</v>
      </c>
      <c r="S78" s="90">
        <v>7731</v>
      </c>
      <c r="T78" s="90">
        <v>8142</v>
      </c>
      <c r="U78" s="90">
        <v>8772</v>
      </c>
      <c r="V78" s="90">
        <v>8772</v>
      </c>
      <c r="W78" s="90">
        <v>9061</v>
      </c>
      <c r="X78" s="121">
        <v>14760</v>
      </c>
      <c r="Y78" s="121">
        <v>14425</v>
      </c>
      <c r="Z78" s="121">
        <v>13786</v>
      </c>
      <c r="AA78" s="121">
        <v>13786</v>
      </c>
      <c r="AB78" s="121">
        <v>13038</v>
      </c>
      <c r="AC78" s="90">
        <v>6880</v>
      </c>
      <c r="AD78" s="90">
        <v>6907</v>
      </c>
      <c r="AE78" s="90">
        <v>7244</v>
      </c>
      <c r="AF78" s="121">
        <f>+AE78</f>
        <v>7244</v>
      </c>
      <c r="AG78" s="121">
        <v>7386</v>
      </c>
      <c r="AH78" s="78"/>
    </row>
    <row r="79" spans="1:34">
      <c r="B79" s="23" t="s">
        <v>20</v>
      </c>
      <c r="C79" s="94">
        <f t="shared" ref="C79:S79" si="276">C78/C77</f>
        <v>18.493788819875775</v>
      </c>
      <c r="D79" s="94">
        <f t="shared" si="276"/>
        <v>16.696132596685082</v>
      </c>
      <c r="E79" s="94">
        <f t="shared" si="276"/>
        <v>16.39071038251366</v>
      </c>
      <c r="F79" s="94">
        <f t="shared" si="276"/>
        <v>16.219251336898395</v>
      </c>
      <c r="G79" s="94">
        <f t="shared" si="276"/>
        <v>16.219251336898395</v>
      </c>
      <c r="H79" s="94">
        <f t="shared" si="276"/>
        <v>15.571428571428571</v>
      </c>
      <c r="I79" s="94">
        <f t="shared" si="276"/>
        <v>16.430232558139537</v>
      </c>
      <c r="J79" s="94">
        <f t="shared" si="276"/>
        <v>16.520588235294117</v>
      </c>
      <c r="K79" s="94">
        <f t="shared" si="276"/>
        <v>17.627272727272729</v>
      </c>
      <c r="L79" s="94">
        <f t="shared" si="276"/>
        <v>17.627272727272729</v>
      </c>
      <c r="M79" s="94">
        <f t="shared" si="276"/>
        <v>21.223776223776223</v>
      </c>
      <c r="N79" s="94">
        <f t="shared" si="276"/>
        <v>24.099264705882351</v>
      </c>
      <c r="O79" s="94">
        <f t="shared" si="276"/>
        <v>26.595330739299612</v>
      </c>
      <c r="P79" s="94">
        <f t="shared" si="276"/>
        <v>29.619658119658119</v>
      </c>
      <c r="Q79" s="94">
        <f t="shared" si="276"/>
        <v>29.619658119658119</v>
      </c>
      <c r="R79" s="94">
        <f t="shared" si="276"/>
        <v>32.671171171171174</v>
      </c>
      <c r="S79" s="94">
        <f t="shared" si="276"/>
        <v>36.814285714285717</v>
      </c>
      <c r="T79" s="94">
        <f t="shared" ref="T79:V79" si="277">T78/T77</f>
        <v>36.841628959276015</v>
      </c>
      <c r="U79" s="94">
        <f t="shared" si="277"/>
        <v>28.950495049504951</v>
      </c>
      <c r="V79" s="94">
        <f t="shared" si="277"/>
        <v>28.950495049504951</v>
      </c>
      <c r="W79" s="94">
        <f t="shared" ref="W79:X79" si="278">W78/W77</f>
        <v>19.035714285714285</v>
      </c>
      <c r="X79" s="122">
        <f t="shared" si="278"/>
        <v>27.232472324723247</v>
      </c>
      <c r="Y79" s="122">
        <f t="shared" ref="Y79" si="279">Y78/Y77</f>
        <v>28.009708737864077</v>
      </c>
      <c r="Z79" s="108">
        <f t="shared" ref="Z79:AB79" si="280">Z78/Z77</f>
        <v>32.66824644549763</v>
      </c>
      <c r="AA79" s="94">
        <f t="shared" si="280"/>
        <v>32.66824644549763</v>
      </c>
      <c r="AB79" s="94">
        <f t="shared" si="280"/>
        <v>58.995475113122168</v>
      </c>
      <c r="AC79" s="94">
        <f t="shared" ref="AC79:AD79" si="281">AC78/AC77</f>
        <v>40.710059171597635</v>
      </c>
      <c r="AD79" s="94">
        <f t="shared" si="281"/>
        <v>29.143459915611814</v>
      </c>
      <c r="AE79" s="94">
        <f t="shared" ref="AE79:AG79" si="282">AE78/AE77</f>
        <v>22.851735015772871</v>
      </c>
      <c r="AF79" s="94">
        <f t="shared" si="282"/>
        <v>22.851735015772871</v>
      </c>
      <c r="AG79" s="94">
        <f t="shared" si="282"/>
        <v>17.176744186046513</v>
      </c>
      <c r="AH79" s="78"/>
    </row>
    <row r="80" spans="1:34">
      <c r="X80" s="1"/>
      <c r="Y80" s="1"/>
      <c r="Z80" s="1"/>
      <c r="AH80" s="78"/>
    </row>
    <row r="81" spans="1:34">
      <c r="B81" s="79"/>
      <c r="S81" s="79"/>
      <c r="X81" s="1"/>
      <c r="Y81" s="1"/>
      <c r="Z81" s="1"/>
      <c r="AH81" s="78"/>
    </row>
    <row r="82" spans="1:34">
      <c r="B82" s="21" t="s">
        <v>32</v>
      </c>
      <c r="C82" s="7" t="s">
        <v>164</v>
      </c>
      <c r="D82" s="7" t="s">
        <v>176</v>
      </c>
      <c r="E82" s="7" t="s">
        <v>183</v>
      </c>
      <c r="F82" s="7" t="s">
        <v>185</v>
      </c>
      <c r="G82" s="7" t="s">
        <v>186</v>
      </c>
      <c r="H82" s="7" t="s">
        <v>188</v>
      </c>
      <c r="I82" s="7" t="s">
        <v>194</v>
      </c>
      <c r="J82" s="7" t="s">
        <v>196</v>
      </c>
      <c r="K82" s="7" t="s">
        <v>199</v>
      </c>
      <c r="L82" s="7" t="s">
        <v>200</v>
      </c>
      <c r="M82" s="7" t="s">
        <v>202</v>
      </c>
      <c r="N82" s="7" t="s">
        <v>211</v>
      </c>
      <c r="O82" s="7" t="s">
        <v>216</v>
      </c>
      <c r="P82" s="7" t="s">
        <v>218</v>
      </c>
      <c r="Q82" s="7" t="s">
        <v>219</v>
      </c>
      <c r="R82" s="7" t="s">
        <v>222</v>
      </c>
      <c r="S82" s="7" t="s">
        <v>235</v>
      </c>
      <c r="T82" s="7" t="s">
        <v>238</v>
      </c>
      <c r="U82" s="7" t="s">
        <v>240</v>
      </c>
      <c r="V82" s="7" t="s">
        <v>241</v>
      </c>
      <c r="W82" s="7" t="s">
        <v>243</v>
      </c>
      <c r="X82" s="7" t="s">
        <v>245</v>
      </c>
      <c r="Y82" s="7" t="str">
        <f>Y3</f>
        <v>Kv3 2023</v>
      </c>
      <c r="Z82" s="7" t="str">
        <f>Z3</f>
        <v>Kv4 2023</v>
      </c>
      <c r="AA82" s="7" t="s">
        <v>258</v>
      </c>
      <c r="AB82" s="7" t="s">
        <v>259</v>
      </c>
      <c r="AC82" s="7" t="str">
        <f>+AC76</f>
        <v>Kv2 2024</v>
      </c>
      <c r="AD82" s="7" t="str">
        <f>+AD76</f>
        <v>Kv3 2024</v>
      </c>
      <c r="AE82" s="7" t="str">
        <f>+AE76</f>
        <v>Kv4 2024</v>
      </c>
      <c r="AF82" s="7" t="str">
        <f>+$AF$3</f>
        <v>12M 2024</v>
      </c>
      <c r="AG82" s="7" t="str">
        <f>+$AG$3</f>
        <v>Kv1 2025</v>
      </c>
      <c r="AH82" s="78"/>
    </row>
    <row r="83" spans="1:34">
      <c r="B83" s="13" t="s">
        <v>50</v>
      </c>
      <c r="C83" s="55">
        <v>143.94999999999999</v>
      </c>
      <c r="D83" s="55">
        <v>134.80000000000001</v>
      </c>
      <c r="E83" s="13">
        <v>138.1</v>
      </c>
      <c r="F83" s="55">
        <v>168.55</v>
      </c>
      <c r="G83" s="55">
        <v>168.55</v>
      </c>
      <c r="H83" s="55">
        <v>107.35</v>
      </c>
      <c r="I83" s="55">
        <v>135.65</v>
      </c>
      <c r="J83" s="13">
        <v>159.25</v>
      </c>
      <c r="K83" s="13">
        <v>182.5</v>
      </c>
      <c r="L83" s="13">
        <v>182.5</v>
      </c>
      <c r="M83" s="13">
        <v>222</v>
      </c>
      <c r="N83" s="13">
        <v>198.7</v>
      </c>
      <c r="O83" s="13">
        <v>187.2</v>
      </c>
      <c r="P83" s="13">
        <v>237.8</v>
      </c>
      <c r="Q83" s="13">
        <v>237.8</v>
      </c>
      <c r="R83" s="13">
        <v>219</v>
      </c>
      <c r="S83" s="13">
        <v>206.1</v>
      </c>
      <c r="T83" s="13">
        <v>209.9</v>
      </c>
      <c r="U83" s="13">
        <v>240.8</v>
      </c>
      <c r="V83" s="13">
        <v>240.8</v>
      </c>
      <c r="W83" s="13">
        <v>294.89999999999998</v>
      </c>
      <c r="X83" s="13">
        <v>261.39999999999998</v>
      </c>
      <c r="Y83" s="13">
        <v>272.2</v>
      </c>
      <c r="Z83" s="13">
        <v>337.6</v>
      </c>
      <c r="AA83" s="13">
        <v>337.6</v>
      </c>
      <c r="AB83" s="13">
        <v>382.9</v>
      </c>
      <c r="AC83" s="13">
        <v>412.4</v>
      </c>
      <c r="AD83" s="13">
        <v>390.2</v>
      </c>
      <c r="AE83" s="13">
        <v>378.6</v>
      </c>
      <c r="AF83" s="13">
        <f>+AE83</f>
        <v>378.6</v>
      </c>
      <c r="AG83" s="13">
        <v>371.8</v>
      </c>
      <c r="AH83" s="78"/>
    </row>
    <row r="84" spans="1:34">
      <c r="A84" s="1"/>
      <c r="B84" s="13" t="s">
        <v>51</v>
      </c>
      <c r="C84" s="13">
        <v>11.55</v>
      </c>
      <c r="D84" s="13">
        <v>11.22</v>
      </c>
      <c r="E84" s="13">
        <v>10.77</v>
      </c>
      <c r="F84" s="13">
        <v>-0.73</v>
      </c>
      <c r="G84" s="13">
        <v>-0.73</v>
      </c>
      <c r="H84" s="13">
        <v>-0.82</v>
      </c>
      <c r="I84" s="13">
        <v>-1.69</v>
      </c>
      <c r="J84" s="13">
        <v>-1.72</v>
      </c>
      <c r="K84" s="13">
        <v>10</v>
      </c>
      <c r="L84" s="13">
        <v>10</v>
      </c>
      <c r="M84" s="13">
        <v>11.03</v>
      </c>
      <c r="N84" s="13">
        <v>12.58</v>
      </c>
      <c r="O84" s="13">
        <v>13.37</v>
      </c>
      <c r="P84" s="13">
        <v>13.71</v>
      </c>
      <c r="Q84" s="13">
        <v>13.71</v>
      </c>
      <c r="R84" s="13">
        <v>14.45</v>
      </c>
      <c r="S84" s="13">
        <v>16.45</v>
      </c>
      <c r="T84" s="13">
        <v>18.02</v>
      </c>
      <c r="U84" s="126">
        <v>19.940000000000001</v>
      </c>
      <c r="V84" s="13">
        <v>19.940000000000001</v>
      </c>
      <c r="W84" s="13">
        <v>20.45</v>
      </c>
      <c r="X84" s="13">
        <v>42.21</v>
      </c>
      <c r="Y84" s="13">
        <v>41.36</v>
      </c>
      <c r="Z84" s="13">
        <v>40.24</v>
      </c>
      <c r="AA84" s="13">
        <v>40.24</v>
      </c>
      <c r="AB84" s="13">
        <v>38.97</v>
      </c>
      <c r="AC84" s="13">
        <v>15.44</v>
      </c>
      <c r="AD84" s="13">
        <v>15.14</v>
      </c>
      <c r="AE84" s="13">
        <f>4.24+3.78+4.49+4.23</f>
        <v>16.740000000000002</v>
      </c>
      <c r="AF84" s="13">
        <f>+AE84</f>
        <v>16.740000000000002</v>
      </c>
      <c r="AG84" s="13">
        <v>16.79</v>
      </c>
      <c r="AH84" s="78"/>
    </row>
    <row r="85" spans="1:34">
      <c r="B85" s="23" t="s">
        <v>32</v>
      </c>
      <c r="C85" s="26">
        <f t="shared" ref="C85:T85" si="283">C83/C84</f>
        <v>12.463203463203461</v>
      </c>
      <c r="D85" s="26">
        <f t="shared" si="283"/>
        <v>12.014260249554367</v>
      </c>
      <c r="E85" s="26">
        <f t="shared" si="283"/>
        <v>12.822655524605386</v>
      </c>
      <c r="F85" s="26">
        <f t="shared" si="283"/>
        <v>-230.89041095890414</v>
      </c>
      <c r="G85" s="26">
        <f t="shared" si="283"/>
        <v>-230.89041095890414</v>
      </c>
      <c r="H85" s="26">
        <f t="shared" si="283"/>
        <v>-130.91463414634146</v>
      </c>
      <c r="I85" s="26">
        <f t="shared" si="283"/>
        <v>-80.266272189349124</v>
      </c>
      <c r="J85" s="26">
        <f t="shared" si="283"/>
        <v>-92.587209302325576</v>
      </c>
      <c r="K85" s="26">
        <f t="shared" si="283"/>
        <v>18.25</v>
      </c>
      <c r="L85" s="26">
        <f t="shared" si="283"/>
        <v>18.25</v>
      </c>
      <c r="M85" s="26">
        <f t="shared" si="283"/>
        <v>20.126926563916591</v>
      </c>
      <c r="N85" s="26">
        <f t="shared" si="283"/>
        <v>15.794912559618441</v>
      </c>
      <c r="O85" s="26">
        <f t="shared" si="283"/>
        <v>14.00149588631264</v>
      </c>
      <c r="P85" s="26">
        <f t="shared" si="283"/>
        <v>17.345003646973012</v>
      </c>
      <c r="Q85" s="26">
        <f t="shared" si="283"/>
        <v>17.345003646973012</v>
      </c>
      <c r="R85" s="26">
        <f t="shared" si="283"/>
        <v>15.155709342560554</v>
      </c>
      <c r="S85" s="26">
        <f t="shared" si="283"/>
        <v>12.52887537993921</v>
      </c>
      <c r="T85" s="26">
        <f t="shared" si="283"/>
        <v>11.648168701442842</v>
      </c>
      <c r="U85" s="26">
        <f t="shared" ref="U85:V85" si="284">U83/U84</f>
        <v>12.076228686058174</v>
      </c>
      <c r="V85" s="26">
        <f t="shared" si="284"/>
        <v>12.076228686058174</v>
      </c>
      <c r="W85" s="26">
        <f t="shared" ref="W85:X85" si="285">W83/W84</f>
        <v>14.420537897310513</v>
      </c>
      <c r="X85" s="26">
        <f t="shared" si="285"/>
        <v>6.1928452973229087</v>
      </c>
      <c r="Y85" s="26">
        <f t="shared" ref="Y85" si="286">Y83/Y84</f>
        <v>6.5812379110251449</v>
      </c>
      <c r="Z85" s="26">
        <f t="shared" ref="Z85:AA85" si="287">Z83/Z84</f>
        <v>8.389662027833003</v>
      </c>
      <c r="AA85" s="26">
        <f t="shared" si="287"/>
        <v>8.389662027833003</v>
      </c>
      <c r="AB85" s="26">
        <f>AB83/AB84</f>
        <v>9.8255068001026427</v>
      </c>
      <c r="AC85" s="26">
        <f t="shared" ref="AC85" si="288">AC83/AC84</f>
        <v>26.709844559585491</v>
      </c>
      <c r="AD85" s="26">
        <f>AD83/AD84</f>
        <v>25.772787318361953</v>
      </c>
      <c r="AE85" s="26">
        <f>AE83/AE84</f>
        <v>22.616487455197131</v>
      </c>
      <c r="AF85" s="26">
        <f t="shared" ref="AF85" si="289">AF83/AF84</f>
        <v>22.616487455197131</v>
      </c>
      <c r="AG85" s="26">
        <f>AG83/AG84</f>
        <v>22.144133412745685</v>
      </c>
      <c r="AH85" s="78"/>
    </row>
    <row r="86" spans="1:34">
      <c r="B86" s="27"/>
      <c r="C86" s="84"/>
      <c r="D86" s="84"/>
      <c r="E86" s="84"/>
      <c r="F86" s="84"/>
      <c r="G86" s="84"/>
      <c r="H86" s="84"/>
      <c r="I86" s="84"/>
      <c r="J86" s="84"/>
      <c r="K86" s="84"/>
      <c r="L86" s="84"/>
      <c r="M86" s="84"/>
      <c r="N86" s="84"/>
      <c r="O86" s="84"/>
      <c r="P86" s="84"/>
      <c r="Q86" s="84"/>
      <c r="R86" s="27"/>
      <c r="S86" s="27"/>
      <c r="V86" s="84"/>
      <c r="AA86" s="84"/>
      <c r="AF86" s="84"/>
      <c r="AH86" s="78"/>
    </row>
    <row r="87" spans="1:34" ht="18.75">
      <c r="B87" s="83"/>
      <c r="C87" s="28"/>
      <c r="D87" s="28"/>
      <c r="E87" s="28"/>
      <c r="F87" s="28"/>
      <c r="G87" s="28"/>
      <c r="H87" s="28"/>
      <c r="I87" s="28"/>
      <c r="J87" s="28"/>
      <c r="K87" s="28"/>
      <c r="L87" s="28"/>
      <c r="M87" s="28"/>
      <c r="N87" s="28"/>
      <c r="O87" s="28"/>
      <c r="P87" s="28"/>
      <c r="Q87" s="28"/>
      <c r="R87" s="28"/>
      <c r="S87" s="83"/>
      <c r="V87" s="28"/>
      <c r="AA87" s="28"/>
      <c r="AF87" s="28"/>
      <c r="AH87" s="78"/>
    </row>
    <row r="88" spans="1:34">
      <c r="B88" s="21" t="s">
        <v>284</v>
      </c>
      <c r="C88" s="7" t="s">
        <v>164</v>
      </c>
      <c r="D88" s="7" t="s">
        <v>176</v>
      </c>
      <c r="E88" s="7" t="s">
        <v>183</v>
      </c>
      <c r="F88" s="7" t="s">
        <v>185</v>
      </c>
      <c r="G88" s="7" t="s">
        <v>186</v>
      </c>
      <c r="H88" s="7" t="s">
        <v>188</v>
      </c>
      <c r="I88" s="7" t="s">
        <v>194</v>
      </c>
      <c r="J88" s="7" t="s">
        <v>196</v>
      </c>
      <c r="K88" s="7" t="s">
        <v>199</v>
      </c>
      <c r="L88" s="7" t="s">
        <v>200</v>
      </c>
      <c r="M88" s="7" t="s">
        <v>202</v>
      </c>
      <c r="N88" s="7" t="s">
        <v>211</v>
      </c>
      <c r="O88" s="7" t="s">
        <v>216</v>
      </c>
      <c r="P88" s="7" t="s">
        <v>218</v>
      </c>
      <c r="Q88" s="7" t="s">
        <v>219</v>
      </c>
      <c r="R88" s="7" t="s">
        <v>222</v>
      </c>
      <c r="S88" s="7" t="s">
        <v>235</v>
      </c>
      <c r="T88" s="7" t="s">
        <v>238</v>
      </c>
      <c r="U88" s="7" t="s">
        <v>240</v>
      </c>
      <c r="V88" s="7" t="s">
        <v>241</v>
      </c>
      <c r="W88" s="7" t="s">
        <v>243</v>
      </c>
      <c r="X88" s="7" t="s">
        <v>245</v>
      </c>
      <c r="Y88" s="7" t="str">
        <f>Y3</f>
        <v>Kv3 2023</v>
      </c>
      <c r="Z88" s="7" t="str">
        <f>Z3</f>
        <v>Kv4 2023</v>
      </c>
      <c r="AA88" s="7" t="s">
        <v>258</v>
      </c>
      <c r="AB88" s="7" t="s">
        <v>259</v>
      </c>
      <c r="AC88" s="7" t="str">
        <f>+AC82</f>
        <v>Kv2 2024</v>
      </c>
      <c r="AD88" s="7" t="str">
        <f>+AD82</f>
        <v>Kv3 2024</v>
      </c>
      <c r="AE88" s="7" t="str">
        <f>+AE82</f>
        <v>Kv4 2024</v>
      </c>
      <c r="AF88" s="7" t="str">
        <f>+$AF$3</f>
        <v>12M 2024</v>
      </c>
      <c r="AG88" s="7" t="str">
        <f>+$AG$3</f>
        <v>Kv1 2025</v>
      </c>
      <c r="AH88" s="78"/>
    </row>
    <row r="89" spans="1:34">
      <c r="B89" s="13" t="s">
        <v>52</v>
      </c>
      <c r="C89" s="22">
        <v>3392</v>
      </c>
      <c r="D89" s="22">
        <v>3477</v>
      </c>
      <c r="E89" s="22">
        <v>3535</v>
      </c>
      <c r="F89" s="22">
        <v>3689</v>
      </c>
      <c r="G89" s="22">
        <v>3689</v>
      </c>
      <c r="H89" s="22">
        <f>D13+E13+F13+H13</f>
        <v>3611</v>
      </c>
      <c r="I89" s="22">
        <f>E13+F13+H13+I13</f>
        <v>3261</v>
      </c>
      <c r="J89" s="22">
        <f>F13+H13+I13+J13</f>
        <v>3043</v>
      </c>
      <c r="K89" s="22">
        <f>H13+I13+J13+K13</f>
        <v>3006</v>
      </c>
      <c r="L89" s="22">
        <f>L13</f>
        <v>3006</v>
      </c>
      <c r="M89" s="22">
        <f>I13+J13+K13+M13</f>
        <v>3123</v>
      </c>
      <c r="N89" s="22">
        <f>J13+K13+M13+N13</f>
        <v>3547</v>
      </c>
      <c r="O89" s="22">
        <f>K13+M13+N13+O13</f>
        <v>3820</v>
      </c>
      <c r="P89" s="22">
        <f>M13+N13+O13+P13</f>
        <v>3903</v>
      </c>
      <c r="Q89" s="22">
        <f>Q13</f>
        <v>3903</v>
      </c>
      <c r="R89" s="22">
        <f>N13+O13+P13+R13</f>
        <v>4151</v>
      </c>
      <c r="S89" s="22">
        <f>O13+P13+R13+S13</f>
        <v>4434</v>
      </c>
      <c r="T89" s="22">
        <f>P13+R13+S13+T13</f>
        <v>4755</v>
      </c>
      <c r="U89" s="22">
        <f>R13+S13+T13+U13</f>
        <v>5066</v>
      </c>
      <c r="V89" s="22">
        <f>V13</f>
        <v>5066</v>
      </c>
      <c r="W89" s="22">
        <f>S13+T13+U13+W13</f>
        <v>5247</v>
      </c>
      <c r="X89" s="106">
        <f>T13+U13+W13+X13</f>
        <v>5370</v>
      </c>
      <c r="Y89" s="106">
        <f>U13+W13+X13+Y13</f>
        <v>5453</v>
      </c>
      <c r="Z89" s="106">
        <f>W13+X13+Y13+Z13</f>
        <v>5518</v>
      </c>
      <c r="AA89" s="22">
        <f>AA13</f>
        <v>5518</v>
      </c>
      <c r="AB89" s="22">
        <f>X13+Y13+Z13+AB13</f>
        <v>5486</v>
      </c>
      <c r="AC89" s="106">
        <f>Y13+Z13+AB13+AC13</f>
        <v>5527</v>
      </c>
      <c r="AD89" s="106">
        <f>Z13+AB13+AC13+AD13</f>
        <v>5486</v>
      </c>
      <c r="AE89" s="106">
        <f>AB13+AC13+AD13+AE13</f>
        <v>5602</v>
      </c>
      <c r="AF89" s="22">
        <f>AF13</f>
        <v>5602</v>
      </c>
      <c r="AG89" s="22">
        <f>AC13+AD13+AE13+AG13</f>
        <v>5685</v>
      </c>
      <c r="AH89" s="78"/>
    </row>
    <row r="90" spans="1:34">
      <c r="B90" s="13" t="s">
        <v>228</v>
      </c>
      <c r="C90" s="22">
        <v>3313</v>
      </c>
      <c r="D90" s="22">
        <v>3338</v>
      </c>
      <c r="E90" s="22">
        <v>3310</v>
      </c>
      <c r="F90" s="22">
        <v>2672</v>
      </c>
      <c r="G90" s="22">
        <v>2672</v>
      </c>
      <c r="H90" s="22">
        <f>D15+E15+F15+H15</f>
        <v>2581</v>
      </c>
      <c r="I90" s="22">
        <f>E15+F15+H15+I15</f>
        <v>2251</v>
      </c>
      <c r="J90" s="22">
        <f>F15+H15+I15+J15</f>
        <v>2063</v>
      </c>
      <c r="K90" s="22">
        <f>H15+I15+J15+K15</f>
        <v>2746</v>
      </c>
      <c r="L90" s="22">
        <f>L15</f>
        <v>2746</v>
      </c>
      <c r="M90" s="22">
        <f>I15+J15+K15+M15</f>
        <v>2995</v>
      </c>
      <c r="N90" s="22">
        <f>J15+K15+M15+N15</f>
        <v>3434</v>
      </c>
      <c r="O90" s="22">
        <f>K15+M15+N15+O15</f>
        <v>3758</v>
      </c>
      <c r="P90" s="22">
        <f>M15+N15+O15+P15</f>
        <v>3820</v>
      </c>
      <c r="Q90" s="22">
        <f>Q15</f>
        <v>3820</v>
      </c>
      <c r="R90" s="22">
        <f>N15+O15+P15+R15</f>
        <v>3938</v>
      </c>
      <c r="S90" s="22">
        <f>O15+P15+R15+S15</f>
        <v>4228</v>
      </c>
      <c r="T90" s="22">
        <f>P15+R15+S15+T15</f>
        <v>4501</v>
      </c>
      <c r="U90" s="22">
        <f>R15+S15+T15+U15</f>
        <v>4825</v>
      </c>
      <c r="V90" s="22">
        <f>V15</f>
        <v>4825</v>
      </c>
      <c r="W90" s="22">
        <f>S15+T15+U15+W15</f>
        <v>4982</v>
      </c>
      <c r="X90" s="106">
        <f>T15+U15+W15+X15</f>
        <v>4944</v>
      </c>
      <c r="Y90" s="106">
        <f>U15+W15+X15+Y15</f>
        <v>4984</v>
      </c>
      <c r="Z90" s="106">
        <f>W15+X15+Y15+Z15</f>
        <v>4904</v>
      </c>
      <c r="AA90" s="22">
        <f>AA15</f>
        <v>4904</v>
      </c>
      <c r="AB90" s="22">
        <f>X15+Y15+Z15+AB15</f>
        <v>4866</v>
      </c>
      <c r="AC90" s="22">
        <f>Y15+Z15+AB15+AC15</f>
        <v>4990</v>
      </c>
      <c r="AD90" s="22">
        <f>Z15+AB15+AC15+AD15</f>
        <v>4987</v>
      </c>
      <c r="AE90" s="22">
        <f>AB15+AC15+AD15+AE15</f>
        <v>5287</v>
      </c>
      <c r="AF90" s="22">
        <f>AF15</f>
        <v>5287</v>
      </c>
      <c r="AG90" s="22">
        <f>AC15+AD15+AE15+AG15</f>
        <v>5364</v>
      </c>
      <c r="AH90" s="78"/>
    </row>
    <row r="91" spans="1:34">
      <c r="B91" s="13" t="s">
        <v>53</v>
      </c>
      <c r="C91" s="22">
        <v>23459</v>
      </c>
      <c r="D91" s="22">
        <v>24641</v>
      </c>
      <c r="E91" s="22">
        <v>26101</v>
      </c>
      <c r="F91" s="22">
        <v>27418</v>
      </c>
      <c r="G91" s="22">
        <v>27418</v>
      </c>
      <c r="H91" s="22">
        <v>28059</v>
      </c>
      <c r="I91" s="22">
        <v>28213</v>
      </c>
      <c r="J91" s="22">
        <v>27618</v>
      </c>
      <c r="K91" s="22">
        <v>26919</v>
      </c>
      <c r="L91" s="22">
        <v>26919</v>
      </c>
      <c r="M91" s="22">
        <v>26091</v>
      </c>
      <c r="N91" s="22">
        <v>25594</v>
      </c>
      <c r="O91" s="22">
        <v>25558</v>
      </c>
      <c r="P91" s="22">
        <v>25854</v>
      </c>
      <c r="Q91" s="22">
        <v>25854</v>
      </c>
      <c r="R91" s="22">
        <v>26523</v>
      </c>
      <c r="S91" s="22">
        <v>27494</v>
      </c>
      <c r="T91" s="22">
        <v>28788</v>
      </c>
      <c r="U91" s="22">
        <v>31772</v>
      </c>
      <c r="V91" s="22">
        <v>31772</v>
      </c>
      <c r="W91" s="22">
        <v>35262</v>
      </c>
      <c r="X91" s="106">
        <v>38713</v>
      </c>
      <c r="Y91" s="106">
        <v>41856</v>
      </c>
      <c r="Z91" s="106">
        <v>42931</v>
      </c>
      <c r="AA91" s="106">
        <v>42931</v>
      </c>
      <c r="AB91" s="22">
        <v>43046</v>
      </c>
      <c r="AC91" s="22">
        <v>43433</v>
      </c>
      <c r="AD91" s="22">
        <v>44643</v>
      </c>
      <c r="AE91" s="22">
        <v>46498</v>
      </c>
      <c r="AF91" s="106">
        <f>+AE91</f>
        <v>46498</v>
      </c>
      <c r="AG91" s="22">
        <v>48185</v>
      </c>
      <c r="AH91" s="78"/>
    </row>
    <row r="92" spans="1:34">
      <c r="B92" s="13" t="s">
        <v>226</v>
      </c>
      <c r="C92" s="22">
        <v>23347</v>
      </c>
      <c r="D92" s="22">
        <v>24547</v>
      </c>
      <c r="E92" s="22">
        <v>26016</v>
      </c>
      <c r="F92" s="22">
        <v>27337</v>
      </c>
      <c r="G92" s="22">
        <v>27337</v>
      </c>
      <c r="H92" s="22">
        <v>27972</v>
      </c>
      <c r="I92" s="22">
        <v>28122</v>
      </c>
      <c r="J92" s="22">
        <v>27523</v>
      </c>
      <c r="K92" s="22">
        <v>26819</v>
      </c>
      <c r="L92" s="22">
        <v>26819</v>
      </c>
      <c r="M92" s="22">
        <v>25987</v>
      </c>
      <c r="N92" s="22">
        <v>25481</v>
      </c>
      <c r="O92" s="22">
        <v>25437</v>
      </c>
      <c r="P92" s="22">
        <v>25722</v>
      </c>
      <c r="Q92" s="22">
        <v>25722</v>
      </c>
      <c r="R92" s="22">
        <v>26379</v>
      </c>
      <c r="S92" s="22">
        <v>27327</v>
      </c>
      <c r="T92" s="22">
        <v>28604</v>
      </c>
      <c r="U92" s="22">
        <v>31577</v>
      </c>
      <c r="V92" s="22">
        <v>31577</v>
      </c>
      <c r="W92" s="22">
        <v>35054</v>
      </c>
      <c r="X92" s="106">
        <v>38491</v>
      </c>
      <c r="Y92" s="106">
        <v>41630</v>
      </c>
      <c r="Z92" s="106">
        <v>42703</v>
      </c>
      <c r="AA92" s="106">
        <v>42703</v>
      </c>
      <c r="AB92" s="22">
        <v>42824</v>
      </c>
      <c r="AC92" s="22">
        <v>43225</v>
      </c>
      <c r="AD92" s="22">
        <v>44431</v>
      </c>
      <c r="AE92" s="22">
        <v>46290</v>
      </c>
      <c r="AF92" s="106">
        <f>+AE92</f>
        <v>46290</v>
      </c>
      <c r="AG92" s="22">
        <v>47989</v>
      </c>
      <c r="AH92" s="78"/>
    </row>
    <row r="93" spans="1:34">
      <c r="B93" s="29" t="s">
        <v>54</v>
      </c>
      <c r="C93" s="91">
        <f t="shared" ref="C93:S93" si="290">C89/C91</f>
        <v>0.14459269363570484</v>
      </c>
      <c r="D93" s="91">
        <f t="shared" si="290"/>
        <v>0.1411062862708494</v>
      </c>
      <c r="E93" s="91">
        <f t="shared" si="290"/>
        <v>0.13543542393011762</v>
      </c>
      <c r="F93" s="91">
        <f t="shared" si="290"/>
        <v>0.1345466481873222</v>
      </c>
      <c r="G93" s="91">
        <f t="shared" si="290"/>
        <v>0.1345466481873222</v>
      </c>
      <c r="H93" s="91">
        <f t="shared" si="290"/>
        <v>0.12869311094479491</v>
      </c>
      <c r="I93" s="91">
        <f t="shared" si="290"/>
        <v>0.115585014000638</v>
      </c>
      <c r="J93" s="91">
        <f t="shared" si="290"/>
        <v>0.11018176551524368</v>
      </c>
      <c r="K93" s="91">
        <f t="shared" si="290"/>
        <v>0.11166833834837847</v>
      </c>
      <c r="L93" s="91">
        <f t="shared" si="290"/>
        <v>0.11166833834837847</v>
      </c>
      <c r="M93" s="91">
        <f t="shared" si="290"/>
        <v>0.11969644705070714</v>
      </c>
      <c r="N93" s="91">
        <f t="shared" si="290"/>
        <v>0.13858716886770336</v>
      </c>
      <c r="O93" s="91">
        <f t="shared" si="290"/>
        <v>0.1494639643164567</v>
      </c>
      <c r="P93" s="91">
        <f t="shared" si="290"/>
        <v>0.15096310048735206</v>
      </c>
      <c r="Q93" s="91">
        <f t="shared" si="290"/>
        <v>0.15096310048735206</v>
      </c>
      <c r="R93" s="91">
        <f t="shared" si="290"/>
        <v>0.15650567432040116</v>
      </c>
      <c r="S93" s="91">
        <f t="shared" si="290"/>
        <v>0.16127155015639777</v>
      </c>
      <c r="T93" s="91">
        <f t="shared" ref="T93:W93" si="291">T89/T91</f>
        <v>0.16517298874531056</v>
      </c>
      <c r="U93" s="91">
        <f t="shared" si="291"/>
        <v>0.15944857106886567</v>
      </c>
      <c r="V93" s="91">
        <f t="shared" si="291"/>
        <v>0.15944857106886567</v>
      </c>
      <c r="W93" s="91">
        <f t="shared" si="291"/>
        <v>0.14880040837161818</v>
      </c>
      <c r="X93" s="109">
        <f t="shared" ref="X93:Y93" si="292">X89/X91</f>
        <v>0.13871309379278279</v>
      </c>
      <c r="Y93" s="109">
        <f t="shared" si="292"/>
        <v>0.13028000764525993</v>
      </c>
      <c r="Z93" s="109">
        <f t="shared" ref="Z93:AB93" si="293">Z89/Z91</f>
        <v>0.1285318301460483</v>
      </c>
      <c r="AA93" s="91">
        <f t="shared" si="293"/>
        <v>0.1285318301460483</v>
      </c>
      <c r="AB93" s="91">
        <f t="shared" si="293"/>
        <v>0.12744505877433443</v>
      </c>
      <c r="AC93" s="91">
        <f t="shared" ref="AC93" si="294">AC89/AC91</f>
        <v>0.12725347086316857</v>
      </c>
      <c r="AD93" s="91">
        <f>AD89/AD91</f>
        <v>0.12288600676477836</v>
      </c>
      <c r="AE93" s="91">
        <f>AE89/AE91</f>
        <v>0.12047830014194159</v>
      </c>
      <c r="AF93" s="91">
        <f t="shared" ref="AF93:AG93" si="295">AF89/AF91</f>
        <v>0.12047830014194159</v>
      </c>
      <c r="AG93" s="91">
        <f t="shared" si="295"/>
        <v>0.11798277472242399</v>
      </c>
      <c r="AH93" s="78"/>
    </row>
    <row r="94" spans="1:34" s="9" customFormat="1">
      <c r="B94" s="29" t="s">
        <v>227</v>
      </c>
      <c r="C94" s="147">
        <f t="shared" ref="C94:S94" si="296">C90/C92</f>
        <v>0.14190259990576948</v>
      </c>
      <c r="D94" s="147">
        <f t="shared" si="296"/>
        <v>0.13598403063510817</v>
      </c>
      <c r="E94" s="147">
        <f t="shared" si="296"/>
        <v>0.12722939729397295</v>
      </c>
      <c r="F94" s="147">
        <f t="shared" si="296"/>
        <v>9.7742985697040638E-2</v>
      </c>
      <c r="G94" s="147">
        <f t="shared" si="296"/>
        <v>9.7742985697040638E-2</v>
      </c>
      <c r="H94" s="147">
        <f t="shared" si="296"/>
        <v>9.2270842270842271E-2</v>
      </c>
      <c r="I94" s="147">
        <f t="shared" si="296"/>
        <v>8.0044093592205393E-2</v>
      </c>
      <c r="J94" s="147">
        <f t="shared" si="296"/>
        <v>7.4955491770519203E-2</v>
      </c>
      <c r="K94" s="147">
        <f t="shared" si="296"/>
        <v>0.10239009657332489</v>
      </c>
      <c r="L94" s="147">
        <f t="shared" si="296"/>
        <v>0.10239009657332489</v>
      </c>
      <c r="M94" s="147">
        <f t="shared" si="296"/>
        <v>0.11524993265863701</v>
      </c>
      <c r="N94" s="147">
        <f t="shared" si="296"/>
        <v>0.13476708135473489</v>
      </c>
      <c r="O94" s="147">
        <f t="shared" si="296"/>
        <v>0.1477375476667846</v>
      </c>
      <c r="P94" s="147">
        <f t="shared" si="296"/>
        <v>0.14851100225487909</v>
      </c>
      <c r="Q94" s="147">
        <f t="shared" si="296"/>
        <v>0.14851100225487909</v>
      </c>
      <c r="R94" s="147">
        <f t="shared" si="296"/>
        <v>0.14928541642973578</v>
      </c>
      <c r="S94" s="147">
        <f t="shared" si="296"/>
        <v>0.15471877630182604</v>
      </c>
      <c r="T94" s="147">
        <f t="shared" ref="T94:W94" si="297">T90/T92</f>
        <v>0.15735561459935674</v>
      </c>
      <c r="U94" s="147">
        <f t="shared" si="297"/>
        <v>0.15280108940051304</v>
      </c>
      <c r="V94" s="147">
        <f t="shared" si="297"/>
        <v>0.15280108940051304</v>
      </c>
      <c r="W94" s="147">
        <f t="shared" si="297"/>
        <v>0.14212358076111142</v>
      </c>
      <c r="X94" s="147">
        <f t="shared" ref="X94:Y94" si="298">X90/X92</f>
        <v>0.12844561066223273</v>
      </c>
      <c r="Y94" s="147">
        <f t="shared" si="298"/>
        <v>0.11972135479221716</v>
      </c>
      <c r="Z94" s="147">
        <f t="shared" ref="Z94:AB94" si="299">Z90/Z92</f>
        <v>0.11483970681216776</v>
      </c>
      <c r="AA94" s="147">
        <f t="shared" si="299"/>
        <v>0.11483970681216776</v>
      </c>
      <c r="AB94" s="147">
        <f t="shared" si="299"/>
        <v>0.11362787222118438</v>
      </c>
      <c r="AC94" s="147">
        <f t="shared" ref="AC94:AD94" si="300">AC90/AC92</f>
        <v>0.11544245228455755</v>
      </c>
      <c r="AD94" s="147">
        <f t="shared" si="300"/>
        <v>0.11224145303954446</v>
      </c>
      <c r="AE94" s="147">
        <f t="shared" ref="AE94:AG94" si="301">AE90/AE92</f>
        <v>0.11421473320371571</v>
      </c>
      <c r="AF94" s="147">
        <f t="shared" si="301"/>
        <v>0.11421473320371571</v>
      </c>
      <c r="AG94" s="147">
        <f t="shared" si="301"/>
        <v>0.11177561524516035</v>
      </c>
      <c r="AH94" s="78"/>
    </row>
    <row r="95" spans="1:34">
      <c r="B95" s="18" t="s">
        <v>55</v>
      </c>
      <c r="C95" s="30"/>
      <c r="D95" s="30"/>
      <c r="E95" s="30"/>
      <c r="F95" s="30"/>
      <c r="G95" s="30"/>
      <c r="H95" s="30"/>
      <c r="I95" s="72"/>
      <c r="J95" s="72"/>
      <c r="K95" s="72"/>
      <c r="L95" s="72"/>
      <c r="M95" s="72"/>
      <c r="N95" s="72"/>
      <c r="O95" s="72"/>
      <c r="P95" s="72"/>
      <c r="Q95" s="72"/>
      <c r="R95" s="72"/>
      <c r="S95" s="72"/>
      <c r="V95" s="72"/>
      <c r="AA95" s="72"/>
      <c r="AF95" s="72"/>
      <c r="AH95" s="78"/>
    </row>
    <row r="96" spans="1:34">
      <c r="B96" s="30"/>
      <c r="C96" s="30"/>
      <c r="D96" s="30"/>
      <c r="E96" s="30"/>
      <c r="F96" s="30"/>
      <c r="G96" s="30"/>
      <c r="H96" s="30"/>
      <c r="I96" s="30"/>
      <c r="J96" s="30"/>
      <c r="K96" s="30"/>
      <c r="L96" s="30"/>
      <c r="M96" s="30"/>
      <c r="N96" s="30"/>
      <c r="O96" s="30"/>
      <c r="P96" s="30"/>
      <c r="Q96" s="30"/>
      <c r="R96" s="30"/>
      <c r="S96" s="30"/>
      <c r="V96" s="30"/>
      <c r="AA96" s="30"/>
      <c r="AF96" s="30"/>
      <c r="AH96" s="78"/>
    </row>
    <row r="97" spans="2:34">
      <c r="B97" s="79"/>
      <c r="S97" s="79"/>
      <c r="AH97" s="78"/>
    </row>
    <row r="98" spans="2:34">
      <c r="B98" s="21" t="s">
        <v>209</v>
      </c>
      <c r="C98" s="7" t="s">
        <v>164</v>
      </c>
      <c r="D98" s="7" t="s">
        <v>176</v>
      </c>
      <c r="E98" s="7" t="s">
        <v>183</v>
      </c>
      <c r="F98" s="7" t="s">
        <v>185</v>
      </c>
      <c r="G98" s="7" t="s">
        <v>186</v>
      </c>
      <c r="H98" s="7" t="s">
        <v>188</v>
      </c>
      <c r="I98" s="7" t="s">
        <v>194</v>
      </c>
      <c r="J98" s="7" t="s">
        <v>196</v>
      </c>
      <c r="K98" s="7" t="s">
        <v>199</v>
      </c>
      <c r="L98" s="7" t="s">
        <v>200</v>
      </c>
      <c r="M98" s="7" t="s">
        <v>202</v>
      </c>
      <c r="N98" s="7" t="s">
        <v>211</v>
      </c>
      <c r="O98" s="7" t="s">
        <v>216</v>
      </c>
      <c r="P98" s="7" t="s">
        <v>218</v>
      </c>
      <c r="Q98" s="7" t="s">
        <v>219</v>
      </c>
      <c r="R98" s="7" t="s">
        <v>222</v>
      </c>
      <c r="S98" s="7" t="s">
        <v>235</v>
      </c>
      <c r="T98" s="7" t="s">
        <v>238</v>
      </c>
      <c r="U98" s="7" t="s">
        <v>240</v>
      </c>
      <c r="V98" s="7" t="s">
        <v>241</v>
      </c>
      <c r="W98" s="7" t="s">
        <v>243</v>
      </c>
      <c r="X98" s="7" t="s">
        <v>245</v>
      </c>
      <c r="Y98" s="7" t="str">
        <f>Y3</f>
        <v>Kv3 2023</v>
      </c>
      <c r="Z98" s="7" t="str">
        <f>Z3</f>
        <v>Kv4 2023</v>
      </c>
      <c r="AA98" s="7" t="s">
        <v>258</v>
      </c>
      <c r="AB98" s="7" t="s">
        <v>259</v>
      </c>
      <c r="AC98" s="7" t="str">
        <f>+AC88</f>
        <v>Kv2 2024</v>
      </c>
      <c r="AD98" s="7" t="str">
        <f>+AD88</f>
        <v>Kv3 2024</v>
      </c>
      <c r="AE98" s="7" t="str">
        <f>+AE88</f>
        <v>Kv4 2024</v>
      </c>
      <c r="AF98" s="7" t="str">
        <f>+$AF$3</f>
        <v>12M 2024</v>
      </c>
      <c r="AG98" s="7" t="str">
        <f>+$AG$3</f>
        <v>Kv1 2025</v>
      </c>
      <c r="AH98" s="78"/>
    </row>
    <row r="99" spans="2:34">
      <c r="B99" s="13" t="s">
        <v>56</v>
      </c>
      <c r="C99" s="22">
        <v>22215</v>
      </c>
      <c r="D99" s="22">
        <v>22781</v>
      </c>
      <c r="E99" s="22">
        <v>23330</v>
      </c>
      <c r="F99" s="22">
        <f>C4+D4+E4+F4</f>
        <v>23945</v>
      </c>
      <c r="G99" s="22">
        <f>G4</f>
        <v>23945</v>
      </c>
      <c r="H99" s="22">
        <f>D4+E4+F4+H4</f>
        <v>23973</v>
      </c>
      <c r="I99" s="22">
        <f>E4+F4+H4+I4</f>
        <v>22906</v>
      </c>
      <c r="J99" s="22">
        <f>F4+H4+I4+J4</f>
        <v>22065</v>
      </c>
      <c r="K99" s="22">
        <f>H4+I4+J4+K4</f>
        <v>21494</v>
      </c>
      <c r="L99" s="22">
        <f>L4</f>
        <v>21494</v>
      </c>
      <c r="M99" s="22">
        <f>I4+J4+K4+M4</f>
        <v>21293</v>
      </c>
      <c r="N99" s="22">
        <f>J4+K4+M4+N4</f>
        <v>22387</v>
      </c>
      <c r="O99" s="22">
        <f>K4+M4+N4+O4</f>
        <v>23182</v>
      </c>
      <c r="P99" s="22">
        <f>M4+N4+O4+P4</f>
        <v>23789</v>
      </c>
      <c r="Q99" s="22">
        <f>Q4</f>
        <v>23789</v>
      </c>
      <c r="R99" s="22">
        <f>N4+O4+P4+R4</f>
        <v>25062</v>
      </c>
      <c r="S99" s="22">
        <f>O4+P4+R4+S4</f>
        <v>26334</v>
      </c>
      <c r="T99" s="22">
        <f>P4+R4+S4+T4</f>
        <v>27998</v>
      </c>
      <c r="U99" s="22">
        <f>R4+S4+T4+U4</f>
        <v>30095</v>
      </c>
      <c r="V99" s="22">
        <f>V4</f>
        <v>30095</v>
      </c>
      <c r="W99" s="22">
        <f>S4+T4+U4+W4</f>
        <v>31711</v>
      </c>
      <c r="X99" s="106">
        <f>T4+U4+W4+X4</f>
        <v>33056</v>
      </c>
      <c r="Y99" s="106">
        <f>U4+W4+X4+Y4</f>
        <v>33978</v>
      </c>
      <c r="Z99" s="106">
        <f>W4+X4+Y4+Z4</f>
        <v>34286</v>
      </c>
      <c r="AA99" s="22">
        <f>AA4</f>
        <v>34286</v>
      </c>
      <c r="AB99" s="22">
        <f>X4+Y4+Z4+AB4</f>
        <v>33809</v>
      </c>
      <c r="AC99" s="106">
        <f>Y4+Z4+AB4+AC4</f>
        <v>33824</v>
      </c>
      <c r="AD99" s="106">
        <f>Z4+AB4+AC4+AD4</f>
        <v>33808</v>
      </c>
      <c r="AE99" s="106">
        <f>AB4+AC4+AD4+AE4</f>
        <v>34170</v>
      </c>
      <c r="AF99" s="22">
        <f>AF4</f>
        <v>34170</v>
      </c>
      <c r="AG99" s="22">
        <f>AC4+AD4+AE4+AG4</f>
        <v>34802</v>
      </c>
      <c r="AH99" s="78"/>
    </row>
    <row r="100" spans="2:34">
      <c r="B100" s="13" t="s">
        <v>57</v>
      </c>
      <c r="C100" s="22">
        <f t="shared" ref="C100:AA100" si="302">+C92</f>
        <v>23347</v>
      </c>
      <c r="D100" s="22">
        <f t="shared" si="302"/>
        <v>24547</v>
      </c>
      <c r="E100" s="22">
        <f t="shared" si="302"/>
        <v>26016</v>
      </c>
      <c r="F100" s="22">
        <f t="shared" si="302"/>
        <v>27337</v>
      </c>
      <c r="G100" s="22">
        <f t="shared" si="302"/>
        <v>27337</v>
      </c>
      <c r="H100" s="22">
        <f t="shared" si="302"/>
        <v>27972</v>
      </c>
      <c r="I100" s="22">
        <f t="shared" si="302"/>
        <v>28122</v>
      </c>
      <c r="J100" s="22">
        <f t="shared" si="302"/>
        <v>27523</v>
      </c>
      <c r="K100" s="22">
        <f t="shared" si="302"/>
        <v>26819</v>
      </c>
      <c r="L100" s="22">
        <f t="shared" si="302"/>
        <v>26819</v>
      </c>
      <c r="M100" s="22">
        <f t="shared" si="302"/>
        <v>25987</v>
      </c>
      <c r="N100" s="22">
        <f t="shared" si="302"/>
        <v>25481</v>
      </c>
      <c r="O100" s="22">
        <f t="shared" si="302"/>
        <v>25437</v>
      </c>
      <c r="P100" s="22">
        <f t="shared" si="302"/>
        <v>25722</v>
      </c>
      <c r="Q100" s="22">
        <f t="shared" si="302"/>
        <v>25722</v>
      </c>
      <c r="R100" s="22">
        <f t="shared" si="302"/>
        <v>26379</v>
      </c>
      <c r="S100" s="22">
        <f t="shared" si="302"/>
        <v>27327</v>
      </c>
      <c r="T100" s="22">
        <f t="shared" si="302"/>
        <v>28604</v>
      </c>
      <c r="U100" s="22">
        <f t="shared" si="302"/>
        <v>31577</v>
      </c>
      <c r="V100" s="22">
        <f t="shared" si="302"/>
        <v>31577</v>
      </c>
      <c r="W100" s="22">
        <f t="shared" si="302"/>
        <v>35054</v>
      </c>
      <c r="X100" s="22">
        <f t="shared" si="302"/>
        <v>38491</v>
      </c>
      <c r="Y100" s="22">
        <f t="shared" si="302"/>
        <v>41630</v>
      </c>
      <c r="Z100" s="22">
        <f t="shared" si="302"/>
        <v>42703</v>
      </c>
      <c r="AA100" s="22">
        <f t="shared" si="302"/>
        <v>42703</v>
      </c>
      <c r="AB100" s="22">
        <f>+AB92</f>
        <v>42824</v>
      </c>
      <c r="AC100" s="22">
        <f>+AC92</f>
        <v>43225</v>
      </c>
      <c r="AD100" s="22">
        <f>+AD92</f>
        <v>44431</v>
      </c>
      <c r="AE100" s="22">
        <f>+AE92</f>
        <v>46290</v>
      </c>
      <c r="AF100" s="22">
        <f t="shared" ref="AF100" si="303">+AF92</f>
        <v>46290</v>
      </c>
      <c r="AG100" s="22">
        <f>+AG92</f>
        <v>47989</v>
      </c>
      <c r="AH100" s="78"/>
    </row>
    <row r="101" spans="2:34" s="143" customFormat="1">
      <c r="B101" s="144" t="s">
        <v>33</v>
      </c>
      <c r="C101" s="145">
        <f t="shared" ref="C101:T101" si="304">C99/C100</f>
        <v>0.95151411316229062</v>
      </c>
      <c r="D101" s="145">
        <f t="shared" si="304"/>
        <v>0.92805638163523041</v>
      </c>
      <c r="E101" s="145">
        <f t="shared" si="304"/>
        <v>0.89675584255842555</v>
      </c>
      <c r="F101" s="145">
        <f t="shared" si="304"/>
        <v>0.87591908402531371</v>
      </c>
      <c r="G101" s="145">
        <f t="shared" si="304"/>
        <v>0.87591908402531371</v>
      </c>
      <c r="H101" s="145">
        <f t="shared" si="304"/>
        <v>0.85703560703560699</v>
      </c>
      <c r="I101" s="145">
        <f t="shared" si="304"/>
        <v>0.81452243794893675</v>
      </c>
      <c r="J101" s="145">
        <f t="shared" si="304"/>
        <v>0.8016931293826981</v>
      </c>
      <c r="K101" s="145">
        <f t="shared" si="304"/>
        <v>0.80144673552332302</v>
      </c>
      <c r="L101" s="145">
        <f t="shared" si="304"/>
        <v>0.80144673552332302</v>
      </c>
      <c r="M101" s="145">
        <f t="shared" si="304"/>
        <v>0.81937122407357521</v>
      </c>
      <c r="N101" s="145">
        <f t="shared" si="304"/>
        <v>0.878576194026922</v>
      </c>
      <c r="O101" s="145">
        <f t="shared" si="304"/>
        <v>0.91134960883752014</v>
      </c>
      <c r="P101" s="145">
        <f t="shared" si="304"/>
        <v>0.92485032268097345</v>
      </c>
      <c r="Q101" s="145">
        <f t="shared" si="304"/>
        <v>0.92485032268097345</v>
      </c>
      <c r="R101" s="145">
        <f t="shared" si="304"/>
        <v>0.95007392243830324</v>
      </c>
      <c r="S101" s="145">
        <f t="shared" si="304"/>
        <v>0.96366231199912178</v>
      </c>
      <c r="T101" s="145">
        <f t="shared" si="304"/>
        <v>0.97881415186687182</v>
      </c>
      <c r="U101" s="145">
        <f t="shared" ref="U101:V101" si="305">U99/U100</f>
        <v>0.95306710580485798</v>
      </c>
      <c r="V101" s="145">
        <f t="shared" si="305"/>
        <v>0.95306710580485798</v>
      </c>
      <c r="W101" s="145">
        <f t="shared" ref="W101:X101" si="306">W99/W100</f>
        <v>0.90463285217093625</v>
      </c>
      <c r="X101" s="145">
        <f t="shared" si="306"/>
        <v>0.85879816060897352</v>
      </c>
      <c r="Y101" s="145">
        <f t="shared" ref="Y101" si="307">Y99/Y100</f>
        <v>0.81619024741772761</v>
      </c>
      <c r="Z101" s="145">
        <f t="shared" ref="Z101" si="308">Z99/Z100</f>
        <v>0.8028944102287896</v>
      </c>
      <c r="AA101" s="145">
        <f>AA99/AA100</f>
        <v>0.8028944102287896</v>
      </c>
      <c r="AB101" s="145">
        <f t="shared" ref="AB101:AC101" si="309">AB99/AB100</f>
        <v>0.78948720343732481</v>
      </c>
      <c r="AC101" s="145">
        <f t="shared" si="309"/>
        <v>0.78251012145748988</v>
      </c>
      <c r="AD101" s="145">
        <f t="shared" ref="AD101:AE101" si="310">AD99/AD100</f>
        <v>0.76091017532803673</v>
      </c>
      <c r="AE101" s="145">
        <f t="shared" si="310"/>
        <v>0.7381723914452365</v>
      </c>
      <c r="AF101" s="145">
        <f>AF99/AF100</f>
        <v>0.7381723914452365</v>
      </c>
      <c r="AG101" s="145">
        <f>AG99/AG100</f>
        <v>0.72520786013461414</v>
      </c>
      <c r="AH101" s="78"/>
    </row>
    <row r="102" spans="2:34">
      <c r="B102" s="18" t="s">
        <v>58</v>
      </c>
      <c r="C102" s="30"/>
      <c r="D102" s="30"/>
      <c r="E102" s="30"/>
      <c r="F102" s="30"/>
      <c r="G102" s="30"/>
      <c r="H102" s="30"/>
      <c r="I102" s="72"/>
      <c r="J102" s="72"/>
      <c r="K102" s="72"/>
      <c r="L102" s="72"/>
      <c r="M102" s="72"/>
      <c r="N102" s="72"/>
      <c r="O102" s="72"/>
      <c r="P102" s="72"/>
      <c r="Q102" s="72"/>
      <c r="R102" s="72"/>
      <c r="S102" s="72"/>
      <c r="V102" s="72"/>
      <c r="AA102" s="72"/>
      <c r="AF102" s="72"/>
      <c r="AH102" s="78"/>
    </row>
    <row r="103" spans="2:34">
      <c r="B103" s="56"/>
      <c r="C103" s="22"/>
      <c r="D103" s="22"/>
      <c r="E103" s="22"/>
      <c r="F103" s="22"/>
      <c r="G103" s="22"/>
      <c r="H103" s="22"/>
      <c r="I103" s="22"/>
      <c r="J103" s="22"/>
      <c r="K103" s="22"/>
      <c r="L103" s="22"/>
      <c r="M103" s="22"/>
      <c r="N103" s="22"/>
      <c r="O103" s="22"/>
      <c r="P103" s="22"/>
      <c r="Q103" s="22"/>
      <c r="R103" s="22"/>
      <c r="S103" s="22"/>
      <c r="T103" s="22"/>
      <c r="U103" s="22"/>
      <c r="V103" s="22"/>
      <c r="W103" s="22"/>
      <c r="X103" s="106"/>
      <c r="Y103" s="106"/>
      <c r="Z103" s="106"/>
      <c r="AA103" s="106"/>
      <c r="AF103" s="106"/>
      <c r="AH103" s="78"/>
    </row>
    <row r="104" spans="2:34">
      <c r="B104" s="79"/>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F104" s="78"/>
      <c r="AH104" s="78"/>
    </row>
    <row r="105" spans="2:34">
      <c r="B105" s="21" t="s">
        <v>210</v>
      </c>
      <c r="C105" s="7" t="s">
        <v>164</v>
      </c>
      <c r="D105" s="7" t="s">
        <v>176</v>
      </c>
      <c r="E105" s="7" t="s">
        <v>183</v>
      </c>
      <c r="F105" s="7" t="s">
        <v>185</v>
      </c>
      <c r="G105" s="7" t="s">
        <v>186</v>
      </c>
      <c r="H105" s="7" t="s">
        <v>188</v>
      </c>
      <c r="I105" s="7" t="s">
        <v>194</v>
      </c>
      <c r="J105" s="7" t="s">
        <v>196</v>
      </c>
      <c r="K105" s="7" t="s">
        <v>199</v>
      </c>
      <c r="L105" s="7" t="s">
        <v>200</v>
      </c>
      <c r="M105" s="7" t="s">
        <v>202</v>
      </c>
      <c r="N105" s="7" t="s">
        <v>211</v>
      </c>
      <c r="O105" s="7" t="s">
        <v>216</v>
      </c>
      <c r="P105" s="7" t="s">
        <v>218</v>
      </c>
      <c r="Q105" s="7" t="s">
        <v>219</v>
      </c>
      <c r="R105" s="7" t="s">
        <v>222</v>
      </c>
      <c r="S105" s="7" t="s">
        <v>235</v>
      </c>
      <c r="T105" s="7" t="s">
        <v>238</v>
      </c>
      <c r="U105" s="7" t="s">
        <v>240</v>
      </c>
      <c r="V105" s="7" t="s">
        <v>241</v>
      </c>
      <c r="W105" s="7" t="s">
        <v>243</v>
      </c>
      <c r="X105" s="7" t="s">
        <v>245</v>
      </c>
      <c r="Y105" s="7" t="str">
        <f>Y3</f>
        <v>Kv3 2023</v>
      </c>
      <c r="Z105" s="7" t="str">
        <f>Z3</f>
        <v>Kv4 2023</v>
      </c>
      <c r="AA105" s="7" t="s">
        <v>258</v>
      </c>
      <c r="AB105" s="7" t="s">
        <v>259</v>
      </c>
      <c r="AC105" s="7" t="str">
        <f>+AC98</f>
        <v>Kv2 2024</v>
      </c>
      <c r="AD105" s="7" t="str">
        <f>+AD98</f>
        <v>Kv3 2024</v>
      </c>
      <c r="AE105" s="7" t="str">
        <f>+AE98</f>
        <v>Kv4 2024</v>
      </c>
      <c r="AF105" s="7" t="str">
        <f>+$AF$3</f>
        <v>12M 2024</v>
      </c>
      <c r="AG105" s="7" t="str">
        <f>+$AG$3</f>
        <v>Kv1 2025</v>
      </c>
      <c r="AH105" s="78"/>
    </row>
    <row r="106" spans="2:34">
      <c r="B106" s="13" t="s">
        <v>296</v>
      </c>
      <c r="C106" s="22">
        <v>3301</v>
      </c>
      <c r="D106" s="22">
        <v>3290</v>
      </c>
      <c r="E106" s="22">
        <v>3251</v>
      </c>
      <c r="F106" s="22">
        <v>3222</v>
      </c>
      <c r="G106" s="22">
        <v>3222</v>
      </c>
      <c r="H106" s="22">
        <v>3212</v>
      </c>
      <c r="I106" s="22">
        <v>2969</v>
      </c>
      <c r="J106" s="22">
        <v>2828</v>
      </c>
      <c r="K106" s="22">
        <v>2952</v>
      </c>
      <c r="L106" s="22">
        <v>2952</v>
      </c>
      <c r="M106" s="22">
        <v>3119</v>
      </c>
      <c r="N106" s="22">
        <v>3481</v>
      </c>
      <c r="O106" s="22">
        <v>3755</v>
      </c>
      <c r="P106" s="22">
        <v>3861</v>
      </c>
      <c r="Q106" s="22">
        <v>3861</v>
      </c>
      <c r="R106" s="22">
        <v>4154</v>
      </c>
      <c r="S106" s="22">
        <v>4674</v>
      </c>
      <c r="T106" s="22">
        <v>5074</v>
      </c>
      <c r="U106" s="22">
        <v>5493</v>
      </c>
      <c r="V106" s="22">
        <v>5493</v>
      </c>
      <c r="W106" s="22">
        <v>5590</v>
      </c>
      <c r="X106" s="106">
        <v>11362</v>
      </c>
      <c r="Y106" s="106">
        <v>11052</v>
      </c>
      <c r="Z106" s="106">
        <v>10686</v>
      </c>
      <c r="AA106" s="22">
        <v>10686</v>
      </c>
      <c r="AB106" s="22">
        <v>10282</v>
      </c>
      <c r="AC106" s="22">
        <v>4032</v>
      </c>
      <c r="AD106" s="106">
        <v>3934</v>
      </c>
      <c r="AE106" s="106">
        <v>3978</v>
      </c>
      <c r="AF106" s="22">
        <f>+AE106</f>
        <v>3978</v>
      </c>
      <c r="AG106" s="22">
        <v>3946</v>
      </c>
      <c r="AH106" s="78"/>
    </row>
    <row r="107" spans="2:34">
      <c r="B107" s="13" t="s">
        <v>115</v>
      </c>
      <c r="C107" s="22">
        <v>29988</v>
      </c>
      <c r="D107" s="22">
        <v>30946</v>
      </c>
      <c r="E107" s="22">
        <v>32116</v>
      </c>
      <c r="F107" s="22">
        <v>28851</v>
      </c>
      <c r="G107" s="22">
        <v>28851</v>
      </c>
      <c r="H107" s="22">
        <v>30754</v>
      </c>
      <c r="I107" s="22">
        <v>29612</v>
      </c>
      <c r="J107" s="22">
        <v>29878</v>
      </c>
      <c r="K107" s="22">
        <v>28945</v>
      </c>
      <c r="L107" s="22">
        <v>28945</v>
      </c>
      <c r="M107" s="22">
        <v>31018</v>
      </c>
      <c r="N107" s="22">
        <v>30372</v>
      </c>
      <c r="O107" s="22">
        <v>31717</v>
      </c>
      <c r="P107" s="22">
        <v>32991</v>
      </c>
      <c r="Q107" s="22">
        <v>32991</v>
      </c>
      <c r="R107" s="22">
        <v>34714</v>
      </c>
      <c r="S107" s="22">
        <v>35352</v>
      </c>
      <c r="T107" s="22">
        <v>36946</v>
      </c>
      <c r="U107" s="22">
        <v>37482</v>
      </c>
      <c r="V107" s="22">
        <v>37482</v>
      </c>
      <c r="W107" s="22">
        <v>38574</v>
      </c>
      <c r="X107" s="106">
        <v>44388</v>
      </c>
      <c r="Y107" s="106">
        <v>43838</v>
      </c>
      <c r="Z107" s="106">
        <v>41722</v>
      </c>
      <c r="AA107" s="22">
        <v>41722</v>
      </c>
      <c r="AB107" s="22">
        <v>43067</v>
      </c>
      <c r="AC107" s="22">
        <v>41253</v>
      </c>
      <c r="AD107" s="106">
        <v>40435</v>
      </c>
      <c r="AE107" s="106">
        <v>41565</v>
      </c>
      <c r="AF107" s="22">
        <f>+AE107</f>
        <v>41565</v>
      </c>
      <c r="AG107" s="22">
        <v>38904</v>
      </c>
      <c r="AH107" s="78"/>
    </row>
    <row r="108" spans="2:34">
      <c r="B108" s="13" t="s">
        <v>116</v>
      </c>
      <c r="C108" s="22">
        <v>29645</v>
      </c>
      <c r="D108" s="22">
        <v>30129</v>
      </c>
      <c r="E108" s="22">
        <v>30826</v>
      </c>
      <c r="F108" s="22">
        <v>29309</v>
      </c>
      <c r="G108" s="22">
        <v>29309</v>
      </c>
      <c r="H108" s="22">
        <f>(H107+C107)/2</f>
        <v>30371</v>
      </c>
      <c r="I108" s="22">
        <f t="shared" ref="I108:L108" si="311">(I107+D107)/2</f>
        <v>30279</v>
      </c>
      <c r="J108" s="22">
        <f t="shared" si="311"/>
        <v>30997</v>
      </c>
      <c r="K108" s="22">
        <f t="shared" si="311"/>
        <v>28898</v>
      </c>
      <c r="L108" s="22">
        <f t="shared" si="311"/>
        <v>28898</v>
      </c>
      <c r="M108" s="22">
        <f t="shared" ref="M108" si="312">(M107+H107)/2</f>
        <v>30886</v>
      </c>
      <c r="N108" s="22">
        <f t="shared" ref="N108" si="313">(N107+I107)/2</f>
        <v>29992</v>
      </c>
      <c r="O108" s="22">
        <f t="shared" ref="O108" si="314">(O107+J107)/2</f>
        <v>30797.5</v>
      </c>
      <c r="P108" s="22">
        <f t="shared" ref="P108" si="315">(P107+K107)/2</f>
        <v>30968</v>
      </c>
      <c r="Q108" s="22">
        <f t="shared" ref="Q108" si="316">(Q107+L107)/2</f>
        <v>30968</v>
      </c>
      <c r="R108" s="22">
        <f t="shared" ref="R108" si="317">(R107+M107)/2</f>
        <v>32866</v>
      </c>
      <c r="S108" s="22">
        <f t="shared" ref="S108" si="318">(S107+N107)/2</f>
        <v>32862</v>
      </c>
      <c r="T108" s="22">
        <f t="shared" ref="T108:AC108" si="319">(T107+O107)/2</f>
        <v>34331.5</v>
      </c>
      <c r="U108" s="22">
        <f t="shared" si="319"/>
        <v>35236.5</v>
      </c>
      <c r="V108" s="22">
        <f t="shared" si="319"/>
        <v>35236.5</v>
      </c>
      <c r="W108" s="22">
        <f t="shared" si="319"/>
        <v>36644</v>
      </c>
      <c r="X108" s="106">
        <f t="shared" si="319"/>
        <v>39870</v>
      </c>
      <c r="Y108" s="106">
        <f t="shared" si="319"/>
        <v>40392</v>
      </c>
      <c r="Z108" s="106">
        <f t="shared" si="319"/>
        <v>39602</v>
      </c>
      <c r="AA108" s="22">
        <f>(AA107+V107)/2</f>
        <v>39602</v>
      </c>
      <c r="AB108" s="22">
        <f t="shared" si="319"/>
        <v>40820.5</v>
      </c>
      <c r="AC108" s="22">
        <f t="shared" si="319"/>
        <v>42820.5</v>
      </c>
      <c r="AD108" s="106">
        <f>(AD107+Y107)/2</f>
        <v>42136.5</v>
      </c>
      <c r="AE108" s="106">
        <f>(AE107+Z107)/2</f>
        <v>41643.5</v>
      </c>
      <c r="AF108" s="22">
        <f>+AE108</f>
        <v>41643.5</v>
      </c>
      <c r="AG108" s="22">
        <f t="shared" ref="AG108" si="320">(AG107+AB107)/2</f>
        <v>40985.5</v>
      </c>
      <c r="AH108" s="78"/>
    </row>
    <row r="109" spans="2:34" s="148" customFormat="1">
      <c r="B109" s="149" t="s">
        <v>117</v>
      </c>
      <c r="C109" s="150">
        <f t="shared" ref="C109:T109" si="321">C106/C108</f>
        <v>0.111350986675662</v>
      </c>
      <c r="D109" s="150">
        <f t="shared" si="321"/>
        <v>0.10919711905473133</v>
      </c>
      <c r="E109" s="150">
        <f t="shared" si="321"/>
        <v>0.10546292091091936</v>
      </c>
      <c r="F109" s="150">
        <f t="shared" si="321"/>
        <v>0.10993210276706813</v>
      </c>
      <c r="G109" s="150">
        <f t="shared" si="321"/>
        <v>0.10993210276706813</v>
      </c>
      <c r="H109" s="150">
        <f t="shared" si="321"/>
        <v>0.10575878304961971</v>
      </c>
      <c r="I109" s="150">
        <f t="shared" si="321"/>
        <v>9.8054757422636155E-2</v>
      </c>
      <c r="J109" s="150">
        <f t="shared" si="321"/>
        <v>9.1234635609897738E-2</v>
      </c>
      <c r="K109" s="150">
        <f t="shared" si="321"/>
        <v>0.1021523980898332</v>
      </c>
      <c r="L109" s="150">
        <f t="shared" si="321"/>
        <v>0.1021523980898332</v>
      </c>
      <c r="M109" s="150">
        <f t="shared" si="321"/>
        <v>0.10098426471540503</v>
      </c>
      <c r="N109" s="150">
        <f t="shared" si="321"/>
        <v>0.11606428380901573</v>
      </c>
      <c r="O109" s="150">
        <f t="shared" si="321"/>
        <v>0.12192548096436399</v>
      </c>
      <c r="P109" s="150">
        <f t="shared" si="321"/>
        <v>0.12467708602428314</v>
      </c>
      <c r="Q109" s="150">
        <f t="shared" si="321"/>
        <v>0.12467708602428314</v>
      </c>
      <c r="R109" s="150">
        <f t="shared" si="321"/>
        <v>0.12639201606523459</v>
      </c>
      <c r="S109" s="150">
        <f t="shared" si="321"/>
        <v>0.14223114843892642</v>
      </c>
      <c r="T109" s="150">
        <f t="shared" si="321"/>
        <v>0.14779429969561481</v>
      </c>
      <c r="U109" s="150">
        <f t="shared" ref="U109:V109" si="322">U106/U108</f>
        <v>0.15588948959175855</v>
      </c>
      <c r="V109" s="150">
        <f t="shared" si="322"/>
        <v>0.15588948959175855</v>
      </c>
      <c r="W109" s="150">
        <f t="shared" ref="W109:X109" si="323">W106/W108</f>
        <v>0.15254884837899793</v>
      </c>
      <c r="X109" s="150">
        <f t="shared" si="323"/>
        <v>0.28497617256082269</v>
      </c>
      <c r="Y109" s="150">
        <f t="shared" ref="Y109" si="324">Y106/Y108</f>
        <v>0.27361853832442068</v>
      </c>
      <c r="Z109" s="150">
        <f t="shared" ref="Z109:AB109" si="325">Z106/Z108</f>
        <v>0.26983485682541286</v>
      </c>
      <c r="AA109" s="150">
        <f t="shared" si="325"/>
        <v>0.26983485682541286</v>
      </c>
      <c r="AB109" s="150">
        <f t="shared" si="325"/>
        <v>0.25188324493820508</v>
      </c>
      <c r="AC109" s="150">
        <f t="shared" ref="AC109" si="326">AC106/AC108</f>
        <v>9.4160507233684798E-2</v>
      </c>
      <c r="AD109" s="150">
        <f>AD106/AD108</f>
        <v>9.3363236149181822E-2</v>
      </c>
      <c r="AE109" s="150">
        <f>AE106/AE108</f>
        <v>9.5525111962251011E-2</v>
      </c>
      <c r="AF109" s="150">
        <f t="shared" ref="AF109:AG109" si="327">AF106/AF108</f>
        <v>9.5525111962251011E-2</v>
      </c>
      <c r="AG109" s="150">
        <f t="shared" si="327"/>
        <v>9.6277951958619518E-2</v>
      </c>
      <c r="AH109" s="78"/>
    </row>
    <row r="110" spans="2:34">
      <c r="B110" s="13" t="s">
        <v>297</v>
      </c>
      <c r="C110" s="22">
        <v>3132</v>
      </c>
      <c r="D110" s="22">
        <v>3042</v>
      </c>
      <c r="E110" s="22">
        <v>2920</v>
      </c>
      <c r="F110" s="22">
        <v>-199</v>
      </c>
      <c r="G110" s="22">
        <v>-199</v>
      </c>
      <c r="H110" s="22">
        <v>-223</v>
      </c>
      <c r="I110" s="22">
        <v>-458</v>
      </c>
      <c r="J110" s="22">
        <v>-467</v>
      </c>
      <c r="K110" s="22">
        <v>2711</v>
      </c>
      <c r="L110" s="22">
        <v>2711</v>
      </c>
      <c r="M110" s="22">
        <v>2989</v>
      </c>
      <c r="N110" s="22">
        <v>3409</v>
      </c>
      <c r="O110" s="22">
        <v>3625</v>
      </c>
      <c r="P110" s="22">
        <v>3717</v>
      </c>
      <c r="Q110" s="22">
        <v>3717</v>
      </c>
      <c r="R110" s="22">
        <v>3916</v>
      </c>
      <c r="S110" s="22">
        <v>4440</v>
      </c>
      <c r="T110" s="22">
        <v>4816</v>
      </c>
      <c r="U110" s="22">
        <v>5260</v>
      </c>
      <c r="V110" s="22">
        <v>5260</v>
      </c>
      <c r="W110" s="22">
        <v>5319</v>
      </c>
      <c r="X110" s="106">
        <v>10829</v>
      </c>
      <c r="Y110" s="106">
        <v>10491</v>
      </c>
      <c r="Z110" s="106">
        <v>10074</v>
      </c>
      <c r="AA110" s="106">
        <v>10074</v>
      </c>
      <c r="AB110" s="22">
        <v>9692</v>
      </c>
      <c r="AC110" s="22">
        <v>3653</v>
      </c>
      <c r="AD110" s="106">
        <v>3584</v>
      </c>
      <c r="AE110" s="106">
        <v>3736</v>
      </c>
      <c r="AF110" s="106">
        <f>+AE110</f>
        <v>3736</v>
      </c>
      <c r="AG110" s="22">
        <v>3699</v>
      </c>
      <c r="AH110" s="78"/>
    </row>
    <row r="111" spans="2:34">
      <c r="B111" s="13" t="s">
        <v>115</v>
      </c>
      <c r="C111" s="22">
        <f t="shared" ref="C111:AA111" si="328">+C107</f>
        <v>29988</v>
      </c>
      <c r="D111" s="22">
        <f t="shared" si="328"/>
        <v>30946</v>
      </c>
      <c r="E111" s="22">
        <f t="shared" si="328"/>
        <v>32116</v>
      </c>
      <c r="F111" s="22">
        <f t="shared" si="328"/>
        <v>28851</v>
      </c>
      <c r="G111" s="22">
        <f t="shared" si="328"/>
        <v>28851</v>
      </c>
      <c r="H111" s="22">
        <f t="shared" si="328"/>
        <v>30754</v>
      </c>
      <c r="I111" s="22">
        <f t="shared" si="328"/>
        <v>29612</v>
      </c>
      <c r="J111" s="22">
        <f t="shared" si="328"/>
        <v>29878</v>
      </c>
      <c r="K111" s="22">
        <f t="shared" si="328"/>
        <v>28945</v>
      </c>
      <c r="L111" s="22">
        <f t="shared" si="328"/>
        <v>28945</v>
      </c>
      <c r="M111" s="22">
        <f t="shared" si="328"/>
        <v>31018</v>
      </c>
      <c r="N111" s="22">
        <f t="shared" si="328"/>
        <v>30372</v>
      </c>
      <c r="O111" s="22">
        <f t="shared" si="328"/>
        <v>31717</v>
      </c>
      <c r="P111" s="22">
        <f t="shared" si="328"/>
        <v>32991</v>
      </c>
      <c r="Q111" s="22">
        <f t="shared" si="328"/>
        <v>32991</v>
      </c>
      <c r="R111" s="22">
        <f t="shared" si="328"/>
        <v>34714</v>
      </c>
      <c r="S111" s="22">
        <f t="shared" si="328"/>
        <v>35352</v>
      </c>
      <c r="T111" s="22">
        <f t="shared" si="328"/>
        <v>36946</v>
      </c>
      <c r="U111" s="22">
        <f t="shared" si="328"/>
        <v>37482</v>
      </c>
      <c r="V111" s="22">
        <f t="shared" si="328"/>
        <v>37482</v>
      </c>
      <c r="W111" s="22">
        <f t="shared" si="328"/>
        <v>38574</v>
      </c>
      <c r="X111" s="22">
        <f t="shared" si="328"/>
        <v>44388</v>
      </c>
      <c r="Y111" s="22">
        <f t="shared" si="328"/>
        <v>43838</v>
      </c>
      <c r="Z111" s="22">
        <f t="shared" si="328"/>
        <v>41722</v>
      </c>
      <c r="AA111" s="22">
        <f t="shared" si="328"/>
        <v>41722</v>
      </c>
      <c r="AB111" s="22">
        <f>+AB107</f>
        <v>43067</v>
      </c>
      <c r="AC111" s="22">
        <f>+AC107</f>
        <v>41253</v>
      </c>
      <c r="AD111" s="106">
        <f>+AD107</f>
        <v>40435</v>
      </c>
      <c r="AE111" s="106">
        <f>+AE107</f>
        <v>41565</v>
      </c>
      <c r="AF111" s="22">
        <f t="shared" ref="AF111" si="329">+AF107</f>
        <v>41565</v>
      </c>
      <c r="AG111" s="22">
        <f>+AG107</f>
        <v>38904</v>
      </c>
      <c r="AH111" s="78"/>
    </row>
    <row r="112" spans="2:34">
      <c r="B112" s="13" t="s">
        <v>116</v>
      </c>
      <c r="C112" s="22">
        <v>29645</v>
      </c>
      <c r="D112" s="22">
        <v>30129</v>
      </c>
      <c r="E112" s="22">
        <v>30826</v>
      </c>
      <c r="F112" s="22">
        <v>29314</v>
      </c>
      <c r="G112" s="22">
        <v>29314</v>
      </c>
      <c r="H112" s="22">
        <f>(H111+C111)/2</f>
        <v>30371</v>
      </c>
      <c r="I112" s="22">
        <f t="shared" ref="I112:AC112" si="330">(I111+D111)/2</f>
        <v>30279</v>
      </c>
      <c r="J112" s="22">
        <f t="shared" si="330"/>
        <v>30997</v>
      </c>
      <c r="K112" s="22">
        <f t="shared" si="330"/>
        <v>28898</v>
      </c>
      <c r="L112" s="22">
        <f t="shared" si="330"/>
        <v>28898</v>
      </c>
      <c r="M112" s="22">
        <f t="shared" si="330"/>
        <v>30886</v>
      </c>
      <c r="N112" s="22">
        <f t="shared" si="330"/>
        <v>29992</v>
      </c>
      <c r="O112" s="22">
        <f t="shared" si="330"/>
        <v>30797.5</v>
      </c>
      <c r="P112" s="22">
        <f t="shared" si="330"/>
        <v>30968</v>
      </c>
      <c r="Q112" s="22">
        <f t="shared" si="330"/>
        <v>30968</v>
      </c>
      <c r="R112" s="22">
        <f t="shared" si="330"/>
        <v>32866</v>
      </c>
      <c r="S112" s="22">
        <f t="shared" si="330"/>
        <v>32862</v>
      </c>
      <c r="T112" s="22">
        <f t="shared" si="330"/>
        <v>34331.5</v>
      </c>
      <c r="U112" s="22">
        <f t="shared" si="330"/>
        <v>35236.5</v>
      </c>
      <c r="V112" s="22">
        <f t="shared" si="330"/>
        <v>35236.5</v>
      </c>
      <c r="W112" s="22">
        <f t="shared" si="330"/>
        <v>36644</v>
      </c>
      <c r="X112" s="106">
        <f t="shared" si="330"/>
        <v>39870</v>
      </c>
      <c r="Y112" s="106">
        <f t="shared" si="330"/>
        <v>40392</v>
      </c>
      <c r="Z112" s="106">
        <f t="shared" si="330"/>
        <v>39602</v>
      </c>
      <c r="AA112" s="22">
        <f t="shared" si="330"/>
        <v>39602</v>
      </c>
      <c r="AB112" s="106">
        <f t="shared" si="330"/>
        <v>40820.5</v>
      </c>
      <c r="AC112" s="106">
        <f t="shared" si="330"/>
        <v>42820.5</v>
      </c>
      <c r="AD112" s="106">
        <f>(AD111+Y111)/2</f>
        <v>42136.5</v>
      </c>
      <c r="AE112" s="106">
        <f>(AE111+Z111)/2</f>
        <v>41643.5</v>
      </c>
      <c r="AF112" s="22">
        <f t="shared" ref="AF112:AG112" si="331">(AF111+AA111)/2</f>
        <v>41643.5</v>
      </c>
      <c r="AG112" s="106">
        <f t="shared" si="331"/>
        <v>40985.5</v>
      </c>
      <c r="AH112" s="78"/>
    </row>
    <row r="113" spans="2:34" s="148" customFormat="1">
      <c r="B113" s="149" t="s">
        <v>281</v>
      </c>
      <c r="C113" s="150">
        <f t="shared" ref="C113:S113" si="332">C110/C112</f>
        <v>0.10565019396188227</v>
      </c>
      <c r="D113" s="150">
        <f t="shared" si="332"/>
        <v>0.10096584685850842</v>
      </c>
      <c r="E113" s="150">
        <f t="shared" si="332"/>
        <v>9.4725231947057675E-2</v>
      </c>
      <c r="F113" s="150">
        <f t="shared" si="332"/>
        <v>-6.7885651906938668E-3</v>
      </c>
      <c r="G113" s="150">
        <f t="shared" si="332"/>
        <v>-6.7885651906938668E-3</v>
      </c>
      <c r="H113" s="150">
        <f t="shared" si="332"/>
        <v>-7.3425307036317543E-3</v>
      </c>
      <c r="I113" s="150">
        <f t="shared" si="332"/>
        <v>-1.5125994913966776E-2</v>
      </c>
      <c r="J113" s="150">
        <f t="shared" si="332"/>
        <v>-1.5065974126528374E-2</v>
      </c>
      <c r="K113" s="150">
        <f t="shared" si="332"/>
        <v>9.3812720603501973E-2</v>
      </c>
      <c r="L113" s="150">
        <f t="shared" si="332"/>
        <v>9.3812720603501973E-2</v>
      </c>
      <c r="M113" s="150">
        <f t="shared" si="332"/>
        <v>9.6775237971896647E-2</v>
      </c>
      <c r="N113" s="150">
        <f t="shared" si="332"/>
        <v>0.11366364363830354</v>
      </c>
      <c r="O113" s="150">
        <f t="shared" si="332"/>
        <v>0.11770435912005844</v>
      </c>
      <c r="P113" s="150">
        <f t="shared" si="332"/>
        <v>0.12002712477396021</v>
      </c>
      <c r="Q113" s="150">
        <f t="shared" si="332"/>
        <v>0.12002712477396021</v>
      </c>
      <c r="R113" s="150">
        <f t="shared" si="332"/>
        <v>0.11915048986794864</v>
      </c>
      <c r="S113" s="150">
        <f t="shared" si="332"/>
        <v>0.13511046193171444</v>
      </c>
      <c r="T113" s="150">
        <f t="shared" ref="T113:V113" si="333">T110/T112</f>
        <v>0.14027933530431236</v>
      </c>
      <c r="U113" s="150">
        <f t="shared" si="333"/>
        <v>0.14927702808167667</v>
      </c>
      <c r="V113" s="150">
        <f t="shared" si="333"/>
        <v>0.14927702808167667</v>
      </c>
      <c r="W113" s="150">
        <f t="shared" ref="W113:X113" si="334">W110/W112</f>
        <v>0.14515336753629515</v>
      </c>
      <c r="X113" s="150">
        <f t="shared" si="334"/>
        <v>0.27160772510659642</v>
      </c>
      <c r="Y113" s="150">
        <f t="shared" ref="Y113" si="335">Y110/Y112</f>
        <v>0.25972964943553178</v>
      </c>
      <c r="Z113" s="150">
        <f t="shared" ref="Z113:AB113" si="336">Z110/Z112</f>
        <v>0.25438109186404728</v>
      </c>
      <c r="AA113" s="150">
        <f t="shared" si="336"/>
        <v>0.25438109186404728</v>
      </c>
      <c r="AB113" s="150">
        <f t="shared" si="336"/>
        <v>0.2374297228108426</v>
      </c>
      <c r="AC113" s="150">
        <f t="shared" ref="AC113:AD113" si="337">AC110/AC112</f>
        <v>8.5309606380121666E-2</v>
      </c>
      <c r="AD113" s="150">
        <f t="shared" si="337"/>
        <v>8.5056898413489498E-2</v>
      </c>
      <c r="AE113" s="150">
        <f t="shared" ref="AE113:AG113" si="338">AE110/AE112</f>
        <v>8.9713880917790298E-2</v>
      </c>
      <c r="AF113" s="150">
        <f t="shared" si="338"/>
        <v>8.9713880917790298E-2</v>
      </c>
      <c r="AG113" s="150">
        <f t="shared" si="338"/>
        <v>9.0251430383916267E-2</v>
      </c>
      <c r="AH113" s="78"/>
    </row>
    <row r="115" spans="2:34">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F115" s="120"/>
      <c r="AG115" s="120"/>
    </row>
    <row r="116" spans="2:34">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F116" s="120"/>
      <c r="AG116" s="120"/>
    </row>
    <row r="117" spans="2:34">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F117" s="120"/>
      <c r="AG117" s="120"/>
    </row>
    <row r="118" spans="2:34">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F118" s="120"/>
      <c r="AG118" s="120"/>
    </row>
    <row r="119" spans="2:34">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F119" s="120"/>
      <c r="AG119" s="120"/>
    </row>
    <row r="120" spans="2:34">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F120" s="120"/>
      <c r="AG120" s="120"/>
    </row>
    <row r="121" spans="2:34">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F121" s="120"/>
      <c r="AG121" s="120"/>
    </row>
    <row r="122" spans="2:34">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F122" s="120"/>
      <c r="AG122" s="120"/>
    </row>
    <row r="123" spans="2:34">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F123" s="120"/>
      <c r="AG123" s="120"/>
    </row>
    <row r="124" spans="2:34">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F124" s="120"/>
      <c r="AG124" s="120"/>
    </row>
    <row r="125" spans="2:34">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F125" s="120"/>
      <c r="AG125" s="120"/>
    </row>
    <row r="126" spans="2:34">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F126" s="120"/>
      <c r="AG126" s="120"/>
    </row>
  </sheetData>
  <sortState xmlns:xlrd2="http://schemas.microsoft.com/office/spreadsheetml/2017/richdata2" columnSort="1" ref="C1:S113">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G69 AF6:AF26 AF32:AF56 AF60:AF1048576 V63:V69 AA63:AA69" formula="1"/>
    <ignoredError sqref="AF27:AF31 AF57:AF59"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81"/>
  <sheetViews>
    <sheetView topLeftCell="B1" zoomScaleNormal="100" workbookViewId="0">
      <selection activeCell="B1" sqref="B1"/>
    </sheetView>
  </sheetViews>
  <sheetFormatPr defaultRowHeight="15"/>
  <cols>
    <col min="1" max="1" width="0" style="2" hidden="1" customWidth="1"/>
    <col min="2" max="2" width="45.85546875" customWidth="1"/>
    <col min="3" max="16" width="12.7109375" customWidth="1"/>
    <col min="17" max="27" width="12.7109375" style="2" customWidth="1"/>
    <col min="28" max="52" width="9.140625" style="2"/>
  </cols>
  <sheetData>
    <row r="1" spans="2:28" s="2" customFormat="1">
      <c r="B1" s="3" t="s">
        <v>59</v>
      </c>
      <c r="C1" s="3"/>
      <c r="D1" s="3"/>
      <c r="E1" s="3"/>
      <c r="F1" s="3"/>
      <c r="G1" s="3"/>
      <c r="H1" s="3"/>
      <c r="I1" s="3"/>
      <c r="J1" s="3"/>
      <c r="K1" s="3"/>
      <c r="L1" s="3"/>
      <c r="M1" s="3"/>
      <c r="N1" s="3"/>
      <c r="O1" s="3"/>
      <c r="P1" s="3"/>
    </row>
    <row r="2" spans="2:28" s="2" customFormat="1">
      <c r="B2" s="3"/>
      <c r="C2" s="3"/>
      <c r="D2" s="3"/>
      <c r="E2" s="3"/>
      <c r="F2" s="3"/>
      <c r="G2" s="3"/>
      <c r="H2" s="3"/>
      <c r="I2" s="3"/>
      <c r="J2" s="3"/>
      <c r="K2" s="3"/>
      <c r="L2" s="3"/>
      <c r="M2" s="3"/>
      <c r="N2" s="3"/>
      <c r="O2" s="3"/>
      <c r="P2" s="3"/>
    </row>
    <row r="3" spans="2:28">
      <c r="B3" s="31" t="s">
        <v>60</v>
      </c>
      <c r="C3" s="32" t="s">
        <v>64</v>
      </c>
      <c r="D3" s="32" t="s">
        <v>63</v>
      </c>
      <c r="E3" s="32" t="s">
        <v>62</v>
      </c>
      <c r="F3" s="32" t="s">
        <v>61</v>
      </c>
      <c r="G3" s="32" t="s">
        <v>64</v>
      </c>
      <c r="H3" s="32" t="s">
        <v>63</v>
      </c>
      <c r="I3" s="32" t="s">
        <v>62</v>
      </c>
      <c r="J3" s="32" t="s">
        <v>61</v>
      </c>
      <c r="K3" s="32" t="s">
        <v>64</v>
      </c>
      <c r="L3" s="32" t="s">
        <v>63</v>
      </c>
      <c r="M3" s="32" t="s">
        <v>62</v>
      </c>
      <c r="N3" s="32" t="s">
        <v>61</v>
      </c>
      <c r="O3" s="32" t="s">
        <v>64</v>
      </c>
      <c r="P3" s="32" t="s">
        <v>63</v>
      </c>
      <c r="Q3" s="32" t="s">
        <v>62</v>
      </c>
      <c r="R3" s="32" t="s">
        <v>61</v>
      </c>
      <c r="S3" s="32" t="s">
        <v>64</v>
      </c>
      <c r="T3" s="32" t="s">
        <v>246</v>
      </c>
      <c r="U3" s="32" t="s">
        <v>255</v>
      </c>
      <c r="V3" s="32" t="s">
        <v>61</v>
      </c>
      <c r="W3" s="32" t="s">
        <v>64</v>
      </c>
      <c r="X3" s="32" t="s">
        <v>63</v>
      </c>
      <c r="Y3" s="32" t="s">
        <v>62</v>
      </c>
      <c r="Z3" s="32" t="s">
        <v>61</v>
      </c>
      <c r="AA3" s="32" t="s">
        <v>64</v>
      </c>
    </row>
    <row r="4" spans="2:28">
      <c r="B4" s="33"/>
      <c r="C4" s="34">
        <v>2019</v>
      </c>
      <c r="D4" s="34">
        <v>2019</v>
      </c>
      <c r="E4" s="34">
        <v>2019</v>
      </c>
      <c r="F4" s="34">
        <v>2019</v>
      </c>
      <c r="G4" s="33">
        <v>2020</v>
      </c>
      <c r="H4" s="34">
        <v>2020</v>
      </c>
      <c r="I4" s="33">
        <v>2020</v>
      </c>
      <c r="J4" s="33">
        <v>2020</v>
      </c>
      <c r="K4" s="33">
        <v>2021</v>
      </c>
      <c r="L4" s="33">
        <v>2021</v>
      </c>
      <c r="M4" s="33">
        <v>2021</v>
      </c>
      <c r="N4" s="33">
        <v>2021</v>
      </c>
      <c r="O4" s="33">
        <v>2022</v>
      </c>
      <c r="P4" s="33">
        <v>2022</v>
      </c>
      <c r="Q4" s="33">
        <v>2022</v>
      </c>
      <c r="R4" s="33">
        <v>2022</v>
      </c>
      <c r="S4" s="33">
        <v>2023</v>
      </c>
      <c r="T4" s="33">
        <v>2023</v>
      </c>
      <c r="U4" s="33">
        <v>2023</v>
      </c>
      <c r="V4" s="33">
        <v>2023</v>
      </c>
      <c r="W4" s="33">
        <v>2024</v>
      </c>
      <c r="X4" s="33">
        <v>2024</v>
      </c>
      <c r="Y4" s="33">
        <v>2024</v>
      </c>
      <c r="Z4" s="33">
        <v>2024</v>
      </c>
      <c r="AA4" s="33">
        <v>2025</v>
      </c>
    </row>
    <row r="5" spans="2:28" s="2" customFormat="1">
      <c r="B5" s="10" t="s">
        <v>65</v>
      </c>
      <c r="C5" s="11">
        <v>11046</v>
      </c>
      <c r="D5" s="11">
        <v>11140</v>
      </c>
      <c r="E5" s="11">
        <v>11567</v>
      </c>
      <c r="F5" s="11">
        <v>11149</v>
      </c>
      <c r="G5" s="11">
        <v>11564</v>
      </c>
      <c r="H5" s="11">
        <v>10753</v>
      </c>
      <c r="I5" s="11">
        <v>10558</v>
      </c>
      <c r="J5" s="11">
        <v>10068</v>
      </c>
      <c r="K5" s="11">
        <v>9435</v>
      </c>
      <c r="L5" s="11">
        <v>9310</v>
      </c>
      <c r="M5" s="11">
        <v>9468</v>
      </c>
      <c r="N5" s="11">
        <v>10000</v>
      </c>
      <c r="O5" s="11">
        <v>6041</v>
      </c>
      <c r="P5" s="11">
        <v>6445</v>
      </c>
      <c r="Q5" s="11">
        <v>6748</v>
      </c>
      <c r="R5" s="11">
        <v>7589</v>
      </c>
      <c r="S5" s="11">
        <v>7661</v>
      </c>
      <c r="T5" s="11">
        <v>7892</v>
      </c>
      <c r="U5" s="11">
        <v>7897</v>
      </c>
      <c r="V5" s="11">
        <v>7757</v>
      </c>
      <c r="W5" s="90">
        <v>8154</v>
      </c>
      <c r="X5" s="11">
        <v>8393</v>
      </c>
      <c r="Y5" s="11">
        <v>8481</v>
      </c>
      <c r="Z5" s="11">
        <v>9306</v>
      </c>
      <c r="AA5" s="90">
        <v>8719</v>
      </c>
      <c r="AB5" s="78"/>
    </row>
    <row r="6" spans="2:28" s="2" customFormat="1">
      <c r="B6" s="10" t="s">
        <v>230</v>
      </c>
      <c r="C6" s="11">
        <v>2236</v>
      </c>
      <c r="D6" s="11">
        <v>2200</v>
      </c>
      <c r="E6" s="11">
        <v>2234</v>
      </c>
      <c r="F6" s="11">
        <v>2157</v>
      </c>
      <c r="G6" s="11">
        <v>2230</v>
      </c>
      <c r="H6" s="11">
        <v>2066</v>
      </c>
      <c r="I6" s="11">
        <v>1985</v>
      </c>
      <c r="J6" s="11">
        <v>1860</v>
      </c>
      <c r="K6" s="11">
        <v>1876</v>
      </c>
      <c r="L6" s="11">
        <v>1891</v>
      </c>
      <c r="M6" s="11">
        <v>1889</v>
      </c>
      <c r="N6" s="11">
        <f>1445+419</f>
        <v>1864</v>
      </c>
      <c r="O6" s="11">
        <v>1407</v>
      </c>
      <c r="P6" s="11">
        <v>1420</v>
      </c>
      <c r="Q6" s="11">
        <v>1441</v>
      </c>
      <c r="R6" s="11">
        <v>1507</v>
      </c>
      <c r="S6" s="11">
        <v>1506</v>
      </c>
      <c r="T6" s="11">
        <v>1555</v>
      </c>
      <c r="U6" s="11">
        <v>1659</v>
      </c>
      <c r="V6" s="11">
        <v>1538</v>
      </c>
      <c r="W6" s="131">
        <v>1592</v>
      </c>
      <c r="X6" s="11">
        <v>1597</v>
      </c>
      <c r="Y6" s="11">
        <v>1679</v>
      </c>
      <c r="Z6" s="11">
        <v>1758</v>
      </c>
      <c r="AA6" s="131">
        <v>1617</v>
      </c>
      <c r="AB6" s="78"/>
    </row>
    <row r="7" spans="2:28" s="2" customFormat="1">
      <c r="B7" s="10" t="s">
        <v>66</v>
      </c>
      <c r="C7" s="11">
        <v>20203</v>
      </c>
      <c r="D7" s="11">
        <v>20370</v>
      </c>
      <c r="E7" s="11">
        <v>21448</v>
      </c>
      <c r="F7" s="11">
        <v>19198</v>
      </c>
      <c r="G7" s="11">
        <v>20325</v>
      </c>
      <c r="H7" s="11">
        <v>19103</v>
      </c>
      <c r="I7" s="11">
        <v>18937</v>
      </c>
      <c r="J7" s="11">
        <v>17867</v>
      </c>
      <c r="K7" s="11">
        <v>18423</v>
      </c>
      <c r="L7" s="11">
        <v>18159</v>
      </c>
      <c r="M7" s="11">
        <v>18408</v>
      </c>
      <c r="N7" s="11">
        <v>18792</v>
      </c>
      <c r="O7" s="11">
        <v>13468</v>
      </c>
      <c r="P7" s="11">
        <v>14491</v>
      </c>
      <c r="Q7" s="11">
        <v>15188</v>
      </c>
      <c r="R7" s="11">
        <v>20818</v>
      </c>
      <c r="S7" s="11">
        <v>20891</v>
      </c>
      <c r="T7" s="11">
        <v>22059</v>
      </c>
      <c r="U7" s="11">
        <v>21817</v>
      </c>
      <c r="V7" s="11">
        <v>20491</v>
      </c>
      <c r="W7" s="11">
        <v>21689</v>
      </c>
      <c r="X7" s="11">
        <v>22077</v>
      </c>
      <c r="Y7" s="11">
        <v>23941</v>
      </c>
      <c r="Z7" s="11">
        <v>25376</v>
      </c>
      <c r="AA7" s="11">
        <v>23782</v>
      </c>
      <c r="AB7" s="78"/>
    </row>
    <row r="8" spans="2:28" s="2" customFormat="1">
      <c r="B8" s="10" t="s">
        <v>67</v>
      </c>
      <c r="C8" s="11">
        <v>5268</v>
      </c>
      <c r="D8" s="11">
        <v>5309</v>
      </c>
      <c r="E8" s="11">
        <v>5782</v>
      </c>
      <c r="F8" s="11">
        <v>5289</v>
      </c>
      <c r="G8" s="11">
        <v>5530</v>
      </c>
      <c r="H8" s="11">
        <v>5129</v>
      </c>
      <c r="I8" s="11">
        <v>5018</v>
      </c>
      <c r="J8" s="11">
        <v>4675</v>
      </c>
      <c r="K8" s="11">
        <v>4499</v>
      </c>
      <c r="L8" s="11">
        <v>4372</v>
      </c>
      <c r="M8" s="11">
        <v>4369</v>
      </c>
      <c r="N8" s="11">
        <v>4390</v>
      </c>
      <c r="O8" s="11">
        <v>2281</v>
      </c>
      <c r="P8" s="11">
        <v>2509</v>
      </c>
      <c r="Q8" s="11">
        <v>2592</v>
      </c>
      <c r="R8" s="11">
        <v>5744</v>
      </c>
      <c r="S8" s="11">
        <v>5662</v>
      </c>
      <c r="T8" s="11">
        <v>5952</v>
      </c>
      <c r="U8" s="11">
        <v>5822</v>
      </c>
      <c r="V8" s="11">
        <v>5333</v>
      </c>
      <c r="W8" s="11">
        <v>5576</v>
      </c>
      <c r="X8" s="11">
        <v>5728</v>
      </c>
      <c r="Y8" s="11">
        <v>6887</v>
      </c>
      <c r="Z8" s="11">
        <v>7163</v>
      </c>
      <c r="AA8" s="11">
        <v>6552</v>
      </c>
      <c r="AB8" s="78"/>
    </row>
    <row r="9" spans="2:28" s="2" customFormat="1">
      <c r="B9" s="10" t="s">
        <v>68</v>
      </c>
      <c r="C9" s="11">
        <v>93</v>
      </c>
      <c r="D9" s="11">
        <v>96</v>
      </c>
      <c r="E9" s="11">
        <v>98</v>
      </c>
      <c r="F9" s="11">
        <v>108</v>
      </c>
      <c r="G9" s="11">
        <v>110</v>
      </c>
      <c r="H9" s="11">
        <v>106</v>
      </c>
      <c r="I9" s="11">
        <v>105</v>
      </c>
      <c r="J9" s="11">
        <v>104</v>
      </c>
      <c r="K9" s="11">
        <v>39</v>
      </c>
      <c r="L9" s="11">
        <v>50</v>
      </c>
      <c r="M9" s="11">
        <v>59</v>
      </c>
      <c r="N9" s="11">
        <v>60</v>
      </c>
      <c r="O9" s="11">
        <v>52</v>
      </c>
      <c r="P9" s="11">
        <v>56</v>
      </c>
      <c r="Q9" s="11">
        <v>58</v>
      </c>
      <c r="R9" s="11">
        <v>61</v>
      </c>
      <c r="S9" s="11">
        <v>65</v>
      </c>
      <c r="T9" s="11">
        <v>59</v>
      </c>
      <c r="U9" s="11">
        <v>57</v>
      </c>
      <c r="V9" s="11">
        <v>54</v>
      </c>
      <c r="W9" s="11">
        <v>56</v>
      </c>
      <c r="X9" s="11">
        <v>57</v>
      </c>
      <c r="Y9" s="11">
        <v>57</v>
      </c>
      <c r="Z9" s="11">
        <v>57</v>
      </c>
      <c r="AA9" s="11">
        <v>57</v>
      </c>
      <c r="AB9" s="78"/>
    </row>
    <row r="10" spans="2:28" s="2" customFormat="1">
      <c r="B10" s="10" t="s">
        <v>69</v>
      </c>
      <c r="C10" s="11">
        <v>52</v>
      </c>
      <c r="D10" s="11">
        <v>52</v>
      </c>
      <c r="E10" s="11">
        <v>60</v>
      </c>
      <c r="F10" s="11">
        <v>46</v>
      </c>
      <c r="G10" s="11">
        <v>46</v>
      </c>
      <c r="H10" s="11">
        <v>45</v>
      </c>
      <c r="I10" s="11">
        <v>87</v>
      </c>
      <c r="J10" s="11">
        <v>62</v>
      </c>
      <c r="K10" s="11">
        <v>12</v>
      </c>
      <c r="L10" s="11">
        <v>10</v>
      </c>
      <c r="M10" s="11">
        <v>48</v>
      </c>
      <c r="N10" s="11">
        <v>42</v>
      </c>
      <c r="O10" s="11">
        <v>161</v>
      </c>
      <c r="P10" s="11">
        <v>288</v>
      </c>
      <c r="Q10" s="11">
        <v>419</v>
      </c>
      <c r="R10" s="11">
        <v>456</v>
      </c>
      <c r="S10" s="11">
        <v>400</v>
      </c>
      <c r="T10" s="11">
        <v>185</v>
      </c>
      <c r="U10" s="11">
        <v>174</v>
      </c>
      <c r="V10" s="11">
        <v>165</v>
      </c>
      <c r="W10" s="11">
        <v>165</v>
      </c>
      <c r="X10" s="11">
        <v>175</v>
      </c>
      <c r="Y10" s="11">
        <v>164</v>
      </c>
      <c r="Z10" s="11">
        <v>101</v>
      </c>
      <c r="AA10" s="11">
        <v>89</v>
      </c>
      <c r="AB10" s="78"/>
    </row>
    <row r="11" spans="2:28" s="2" customFormat="1">
      <c r="B11" s="10" t="s">
        <v>70</v>
      </c>
      <c r="C11" s="11">
        <v>792</v>
      </c>
      <c r="D11" s="11">
        <v>854</v>
      </c>
      <c r="E11" s="11">
        <v>819</v>
      </c>
      <c r="F11" s="11">
        <v>941</v>
      </c>
      <c r="G11" s="11">
        <v>964</v>
      </c>
      <c r="H11" s="11">
        <v>993</v>
      </c>
      <c r="I11" s="11">
        <v>954</v>
      </c>
      <c r="J11" s="11">
        <v>742</v>
      </c>
      <c r="K11" s="11">
        <v>591</v>
      </c>
      <c r="L11" s="11">
        <v>576</v>
      </c>
      <c r="M11" s="11">
        <v>582</v>
      </c>
      <c r="N11" s="11">
        <v>594</v>
      </c>
      <c r="O11" s="11">
        <v>465</v>
      </c>
      <c r="P11" s="11">
        <v>518</v>
      </c>
      <c r="Q11" s="11">
        <v>527</v>
      </c>
      <c r="R11" s="11">
        <v>543</v>
      </c>
      <c r="S11" s="11">
        <v>546</v>
      </c>
      <c r="T11" s="11">
        <v>594</v>
      </c>
      <c r="U11" s="11">
        <v>541</v>
      </c>
      <c r="V11" s="11">
        <v>498</v>
      </c>
      <c r="W11" s="11">
        <v>525</v>
      </c>
      <c r="X11" s="11">
        <v>530</v>
      </c>
      <c r="Y11" s="11">
        <v>547</v>
      </c>
      <c r="Z11" s="11">
        <v>542</v>
      </c>
      <c r="AA11" s="11">
        <v>499</v>
      </c>
      <c r="AB11" s="78"/>
    </row>
    <row r="12" spans="2:28" s="2" customFormat="1">
      <c r="B12" s="14" t="s">
        <v>111</v>
      </c>
      <c r="C12" s="24">
        <f t="shared" ref="C12:P12" si="0">SUM(C5:C11)</f>
        <v>39690</v>
      </c>
      <c r="D12" s="24">
        <f t="shared" si="0"/>
        <v>40021</v>
      </c>
      <c r="E12" s="24">
        <f t="shared" si="0"/>
        <v>42008</v>
      </c>
      <c r="F12" s="24">
        <f t="shared" si="0"/>
        <v>38888</v>
      </c>
      <c r="G12" s="24">
        <f t="shared" si="0"/>
        <v>40769</v>
      </c>
      <c r="H12" s="24">
        <f t="shared" si="0"/>
        <v>38195</v>
      </c>
      <c r="I12" s="24">
        <f t="shared" si="0"/>
        <v>37644</v>
      </c>
      <c r="J12" s="24">
        <f t="shared" si="0"/>
        <v>35378</v>
      </c>
      <c r="K12" s="24">
        <f t="shared" si="0"/>
        <v>34875</v>
      </c>
      <c r="L12" s="24">
        <f t="shared" si="0"/>
        <v>34368</v>
      </c>
      <c r="M12" s="24">
        <f t="shared" si="0"/>
        <v>34823</v>
      </c>
      <c r="N12" s="24">
        <f t="shared" si="0"/>
        <v>35742</v>
      </c>
      <c r="O12" s="24">
        <f t="shared" si="0"/>
        <v>23875</v>
      </c>
      <c r="P12" s="24">
        <f t="shared" si="0"/>
        <v>25727</v>
      </c>
      <c r="Q12" s="24">
        <f t="shared" ref="Q12:R12" si="1">SUM(Q5:Q11)</f>
        <v>26973</v>
      </c>
      <c r="R12" s="24">
        <f t="shared" si="1"/>
        <v>36718</v>
      </c>
      <c r="S12" s="24">
        <f t="shared" ref="S12:T12" si="2">SUM(S5:S11)</f>
        <v>36731</v>
      </c>
      <c r="T12" s="24">
        <f t="shared" si="2"/>
        <v>38296</v>
      </c>
      <c r="U12" s="24">
        <f t="shared" ref="U12:W12" si="3">SUM(U5:U11)</f>
        <v>37967</v>
      </c>
      <c r="V12" s="24">
        <f t="shared" si="3"/>
        <v>35836</v>
      </c>
      <c r="W12" s="24">
        <f t="shared" si="3"/>
        <v>37757</v>
      </c>
      <c r="X12" s="24">
        <f t="shared" ref="X12" si="4">SUM(X5:X11)</f>
        <v>38557</v>
      </c>
      <c r="Y12" s="24">
        <f>SUM(Y5:Y11)</f>
        <v>41756</v>
      </c>
      <c r="Z12" s="24">
        <f>SUM(Z5:Z11)</f>
        <v>44303</v>
      </c>
      <c r="AA12" s="24">
        <f t="shared" ref="AA12" si="5">SUM(AA5:AA11)</f>
        <v>41315</v>
      </c>
      <c r="AB12" s="78"/>
    </row>
    <row r="13" spans="2:28" s="2" customFormat="1">
      <c r="B13" s="10" t="s">
        <v>71</v>
      </c>
      <c r="C13" s="11">
        <v>6510</v>
      </c>
      <c r="D13" s="11">
        <v>6697</v>
      </c>
      <c r="E13" s="11">
        <v>6863</v>
      </c>
      <c r="F13" s="11">
        <v>6361</v>
      </c>
      <c r="G13" s="11">
        <v>6675</v>
      </c>
      <c r="H13" s="11">
        <v>6190</v>
      </c>
      <c r="I13" s="11">
        <v>5674</v>
      </c>
      <c r="J13" s="11">
        <v>5263</v>
      </c>
      <c r="K13" s="11">
        <v>5099</v>
      </c>
      <c r="L13" s="11">
        <v>5352</v>
      </c>
      <c r="M13" s="11">
        <v>5862</v>
      </c>
      <c r="N13" s="11">
        <v>6395</v>
      </c>
      <c r="O13" s="11">
        <v>4295</v>
      </c>
      <c r="P13" s="11">
        <v>4919</v>
      </c>
      <c r="Q13" s="11">
        <v>5245</v>
      </c>
      <c r="R13" s="11">
        <v>5463</v>
      </c>
      <c r="S13" s="11">
        <v>5648</v>
      </c>
      <c r="T13" s="11">
        <v>5910</v>
      </c>
      <c r="U13" s="11">
        <v>5769</v>
      </c>
      <c r="V13" s="11">
        <v>5119</v>
      </c>
      <c r="W13" s="11">
        <v>5493</v>
      </c>
      <c r="X13" s="11">
        <v>5825</v>
      </c>
      <c r="Y13" s="11">
        <v>5827</v>
      </c>
      <c r="Z13" s="11">
        <v>5733</v>
      </c>
      <c r="AA13" s="11">
        <v>5496</v>
      </c>
      <c r="AB13" s="78"/>
    </row>
    <row r="14" spans="2:28" s="2" customFormat="1">
      <c r="B14" s="10" t="s">
        <v>72</v>
      </c>
      <c r="C14" s="11">
        <v>7928</v>
      </c>
      <c r="D14" s="11">
        <v>7874</v>
      </c>
      <c r="E14" s="11">
        <v>7759</v>
      </c>
      <c r="F14" s="11">
        <v>6833</v>
      </c>
      <c r="G14" s="11">
        <v>7821</v>
      </c>
      <c r="H14" s="11">
        <v>6671</v>
      </c>
      <c r="I14" s="11">
        <v>6793</v>
      </c>
      <c r="J14" s="11">
        <v>6250</v>
      </c>
      <c r="K14" s="11">
        <v>7023</v>
      </c>
      <c r="L14" s="11">
        <v>7222</v>
      </c>
      <c r="M14" s="11">
        <v>7295</v>
      </c>
      <c r="N14" s="11">
        <v>7093</v>
      </c>
      <c r="O14" s="11">
        <v>5782</v>
      </c>
      <c r="P14" s="11">
        <v>6307</v>
      </c>
      <c r="Q14" s="11">
        <v>6745</v>
      </c>
      <c r="R14" s="11">
        <v>6620</v>
      </c>
      <c r="S14" s="11">
        <v>7339</v>
      </c>
      <c r="T14" s="11">
        <v>7802</v>
      </c>
      <c r="U14" s="11">
        <v>7468</v>
      </c>
      <c r="V14" s="11">
        <v>6440</v>
      </c>
      <c r="W14" s="11">
        <v>7472</v>
      </c>
      <c r="X14" s="11">
        <v>7694</v>
      </c>
      <c r="Y14" s="11">
        <v>7559</v>
      </c>
      <c r="Z14" s="11">
        <v>7182</v>
      </c>
      <c r="AA14" s="11">
        <v>7468</v>
      </c>
      <c r="AB14" s="78"/>
    </row>
    <row r="15" spans="2:28" s="2" customFormat="1">
      <c r="B15" s="10" t="s">
        <v>73</v>
      </c>
      <c r="C15" s="11">
        <v>1127</v>
      </c>
      <c r="D15" s="11">
        <v>1198</v>
      </c>
      <c r="E15" s="11">
        <v>1188</v>
      </c>
      <c r="F15" s="11">
        <v>1109</v>
      </c>
      <c r="G15" s="11">
        <v>1144</v>
      </c>
      <c r="H15" s="11">
        <v>1061</v>
      </c>
      <c r="I15" s="11">
        <v>1075</v>
      </c>
      <c r="J15" s="11">
        <v>884</v>
      </c>
      <c r="K15" s="11">
        <v>887</v>
      </c>
      <c r="L15" s="11">
        <v>914</v>
      </c>
      <c r="M15" s="11">
        <v>1056</v>
      </c>
      <c r="N15" s="11">
        <v>1013</v>
      </c>
      <c r="O15" s="11">
        <v>932</v>
      </c>
      <c r="P15" s="11">
        <v>1167</v>
      </c>
      <c r="Q15" s="11">
        <v>1326</v>
      </c>
      <c r="R15" s="11">
        <v>1068</v>
      </c>
      <c r="S15" s="11">
        <v>651</v>
      </c>
      <c r="T15" s="11">
        <v>914</v>
      </c>
      <c r="U15" s="11">
        <v>1078</v>
      </c>
      <c r="V15" s="11">
        <v>853</v>
      </c>
      <c r="W15" s="11">
        <v>997</v>
      </c>
      <c r="X15" s="11">
        <v>1237</v>
      </c>
      <c r="Y15" s="11">
        <v>1347</v>
      </c>
      <c r="Z15" s="11">
        <v>1048</v>
      </c>
      <c r="AA15" s="11">
        <v>1054</v>
      </c>
      <c r="AB15" s="78"/>
    </row>
    <row r="16" spans="2:28" s="2" customFormat="1">
      <c r="B16" s="10" t="s">
        <v>74</v>
      </c>
      <c r="C16" s="11">
        <v>164</v>
      </c>
      <c r="D16" s="11">
        <v>258</v>
      </c>
      <c r="E16" s="11">
        <v>81</v>
      </c>
      <c r="F16" s="11">
        <v>286</v>
      </c>
      <c r="G16" s="11">
        <v>211</v>
      </c>
      <c r="H16" s="11">
        <v>305</v>
      </c>
      <c r="I16" s="11">
        <v>129</v>
      </c>
      <c r="J16" s="11">
        <v>233</v>
      </c>
      <c r="K16" s="11">
        <v>80</v>
      </c>
      <c r="L16" s="11">
        <v>55</v>
      </c>
      <c r="M16" s="11">
        <v>58</v>
      </c>
      <c r="N16" s="11">
        <v>114</v>
      </c>
      <c r="O16" s="11">
        <v>248</v>
      </c>
      <c r="P16" s="11">
        <v>125</v>
      </c>
      <c r="Q16" s="11">
        <v>152</v>
      </c>
      <c r="R16" s="11">
        <v>429</v>
      </c>
      <c r="S16" s="11">
        <v>73</v>
      </c>
      <c r="T16" s="11">
        <v>268</v>
      </c>
      <c r="U16" s="11">
        <v>297</v>
      </c>
      <c r="V16" s="11">
        <v>709</v>
      </c>
      <c r="W16" s="11">
        <v>103</v>
      </c>
      <c r="X16" s="11">
        <v>202</v>
      </c>
      <c r="Y16" s="11">
        <v>124</v>
      </c>
      <c r="Z16" s="11">
        <v>80</v>
      </c>
      <c r="AA16" s="11">
        <v>614</v>
      </c>
      <c r="AB16" s="78"/>
    </row>
    <row r="17" spans="2:28" s="2" customFormat="1">
      <c r="B17" s="10" t="s">
        <v>75</v>
      </c>
      <c r="C17" s="11">
        <v>2384</v>
      </c>
      <c r="D17" s="11">
        <v>2299</v>
      </c>
      <c r="E17" s="11">
        <v>2587</v>
      </c>
      <c r="F17" s="11">
        <v>2694</v>
      </c>
      <c r="G17" s="11">
        <v>4102</v>
      </c>
      <c r="H17" s="11">
        <v>6413</v>
      </c>
      <c r="I17" s="11">
        <v>7782</v>
      </c>
      <c r="J17" s="11">
        <v>5756</v>
      </c>
      <c r="K17" s="11">
        <v>4788</v>
      </c>
      <c r="L17" s="11">
        <v>2904</v>
      </c>
      <c r="M17" s="11">
        <v>3577</v>
      </c>
      <c r="N17" s="11">
        <v>3460</v>
      </c>
      <c r="O17" s="11">
        <v>2215</v>
      </c>
      <c r="P17" s="11">
        <v>2359</v>
      </c>
      <c r="Q17" s="11">
        <v>2746</v>
      </c>
      <c r="R17" s="11">
        <v>3924</v>
      </c>
      <c r="S17" s="11">
        <v>2317</v>
      </c>
      <c r="T17" s="11">
        <v>11628</v>
      </c>
      <c r="U17" s="11">
        <v>10558</v>
      </c>
      <c r="V17" s="11">
        <v>10546</v>
      </c>
      <c r="W17" s="11">
        <v>7937</v>
      </c>
      <c r="X17" s="11">
        <v>5141</v>
      </c>
      <c r="Y17" s="11">
        <v>2226</v>
      </c>
      <c r="Z17" s="11">
        <v>2162</v>
      </c>
      <c r="AA17" s="11">
        <v>1918</v>
      </c>
      <c r="AB17" s="78"/>
    </row>
    <row r="18" spans="2:28" s="2" customFormat="1">
      <c r="B18" s="14" t="s">
        <v>76</v>
      </c>
      <c r="C18" s="36">
        <f t="shared" ref="C18:P18" si="6">SUM(C13:C17)</f>
        <v>18113</v>
      </c>
      <c r="D18" s="36">
        <f t="shared" si="6"/>
        <v>18326</v>
      </c>
      <c r="E18" s="36">
        <f t="shared" si="6"/>
        <v>18478</v>
      </c>
      <c r="F18" s="36">
        <f t="shared" si="6"/>
        <v>17283</v>
      </c>
      <c r="G18" s="36">
        <f t="shared" si="6"/>
        <v>19953</v>
      </c>
      <c r="H18" s="36">
        <f t="shared" si="6"/>
        <v>20640</v>
      </c>
      <c r="I18" s="36">
        <f t="shared" si="6"/>
        <v>21453</v>
      </c>
      <c r="J18" s="36">
        <f t="shared" si="6"/>
        <v>18386</v>
      </c>
      <c r="K18" s="36">
        <f t="shared" si="6"/>
        <v>17877</v>
      </c>
      <c r="L18" s="36">
        <f t="shared" si="6"/>
        <v>16447</v>
      </c>
      <c r="M18" s="36">
        <f t="shared" si="6"/>
        <v>17848</v>
      </c>
      <c r="N18" s="36">
        <f t="shared" si="6"/>
        <v>18075</v>
      </c>
      <c r="O18" s="36">
        <f t="shared" si="6"/>
        <v>13472</v>
      </c>
      <c r="P18" s="36">
        <f t="shared" si="6"/>
        <v>14877</v>
      </c>
      <c r="Q18" s="36">
        <f t="shared" ref="Q18:R18" si="7">SUM(Q13:Q17)</f>
        <v>16214</v>
      </c>
      <c r="R18" s="36">
        <f t="shared" si="7"/>
        <v>17504</v>
      </c>
      <c r="S18" s="36">
        <f t="shared" ref="S18:T18" si="8">SUM(S13:S17)</f>
        <v>16028</v>
      </c>
      <c r="T18" s="36">
        <f t="shared" si="8"/>
        <v>26522</v>
      </c>
      <c r="U18" s="36">
        <f t="shared" ref="U18:W18" si="9">SUM(U13:U17)</f>
        <v>25170</v>
      </c>
      <c r="V18" s="36">
        <f t="shared" si="9"/>
        <v>23667</v>
      </c>
      <c r="W18" s="36">
        <f t="shared" si="9"/>
        <v>22002</v>
      </c>
      <c r="X18" s="36">
        <f t="shared" ref="X18" si="10">SUM(X13:X17)</f>
        <v>20099</v>
      </c>
      <c r="Y18" s="36">
        <f>SUM(Y13:Y17)</f>
        <v>17083</v>
      </c>
      <c r="Z18" s="36">
        <f>SUM(Z13:Z17)</f>
        <v>16205</v>
      </c>
      <c r="AA18" s="36">
        <f t="shared" ref="AA18" si="11">SUM(AA13:AA17)</f>
        <v>16550</v>
      </c>
      <c r="AB18" s="78"/>
    </row>
    <row r="19" spans="2:28" s="2" customFormat="1">
      <c r="B19" s="10" t="s">
        <v>207</v>
      </c>
      <c r="C19" s="39">
        <v>0</v>
      </c>
      <c r="D19" s="39">
        <v>0</v>
      </c>
      <c r="E19" s="39">
        <v>0</v>
      </c>
      <c r="F19" s="39">
        <v>0</v>
      </c>
      <c r="G19" s="39">
        <v>0</v>
      </c>
      <c r="H19" s="39">
        <v>0</v>
      </c>
      <c r="I19" s="39">
        <v>0</v>
      </c>
      <c r="J19" s="39">
        <v>0</v>
      </c>
      <c r="K19" s="11">
        <v>2848</v>
      </c>
      <c r="L19" s="11">
        <v>2631</v>
      </c>
      <c r="M19" s="11">
        <v>2477</v>
      </c>
      <c r="N19" s="11">
        <v>1823</v>
      </c>
      <c r="O19" s="11">
        <v>19890</v>
      </c>
      <c r="P19" s="11">
        <v>21372</v>
      </c>
      <c r="Q19" s="11">
        <v>22396</v>
      </c>
      <c r="R19" s="11">
        <v>22844</v>
      </c>
      <c r="S19" s="11">
        <v>24893</v>
      </c>
      <c r="T19" s="40">
        <v>0</v>
      </c>
      <c r="U19" s="40">
        <v>0</v>
      </c>
      <c r="V19" s="40">
        <v>0</v>
      </c>
      <c r="W19" s="40">
        <v>0</v>
      </c>
      <c r="X19" s="40">
        <v>0</v>
      </c>
      <c r="Y19" s="40">
        <v>0</v>
      </c>
      <c r="Z19" s="40">
        <v>0</v>
      </c>
      <c r="AA19" s="40">
        <v>0</v>
      </c>
      <c r="AB19" s="78"/>
    </row>
    <row r="20" spans="2:28" s="2" customFormat="1">
      <c r="B20" s="14" t="s">
        <v>298</v>
      </c>
      <c r="C20" s="36">
        <f t="shared" ref="C20:P20" si="12">C12+C18+C19</f>
        <v>57803</v>
      </c>
      <c r="D20" s="36">
        <f t="shared" si="12"/>
        <v>58347</v>
      </c>
      <c r="E20" s="36">
        <f t="shared" si="12"/>
        <v>60486</v>
      </c>
      <c r="F20" s="36">
        <f t="shared" si="12"/>
        <v>56171</v>
      </c>
      <c r="G20" s="36">
        <f t="shared" si="12"/>
        <v>60722</v>
      </c>
      <c r="H20" s="36">
        <f t="shared" si="12"/>
        <v>58835</v>
      </c>
      <c r="I20" s="36">
        <f t="shared" si="12"/>
        <v>59097</v>
      </c>
      <c r="J20" s="36">
        <f t="shared" si="12"/>
        <v>53764</v>
      </c>
      <c r="K20" s="36">
        <f t="shared" si="12"/>
        <v>55600</v>
      </c>
      <c r="L20" s="36">
        <f t="shared" si="12"/>
        <v>53446</v>
      </c>
      <c r="M20" s="36">
        <f t="shared" si="12"/>
        <v>55148</v>
      </c>
      <c r="N20" s="36">
        <f t="shared" si="12"/>
        <v>55640</v>
      </c>
      <c r="O20" s="36">
        <f t="shared" si="12"/>
        <v>57237</v>
      </c>
      <c r="P20" s="36">
        <f t="shared" si="12"/>
        <v>61976</v>
      </c>
      <c r="Q20" s="36">
        <f t="shared" ref="Q20:R20" si="13">Q12+Q18+Q19</f>
        <v>65583</v>
      </c>
      <c r="R20" s="36">
        <f t="shared" si="13"/>
        <v>77066</v>
      </c>
      <c r="S20" s="36">
        <f t="shared" ref="S20:T20" si="14">S12+S18+S19</f>
        <v>77652</v>
      </c>
      <c r="T20" s="36">
        <f t="shared" si="14"/>
        <v>64818</v>
      </c>
      <c r="U20" s="36">
        <f t="shared" ref="U20:W20" si="15">U12+U18+U19</f>
        <v>63137</v>
      </c>
      <c r="V20" s="36">
        <f t="shared" si="15"/>
        <v>59503</v>
      </c>
      <c r="W20" s="36">
        <f t="shared" si="15"/>
        <v>59759</v>
      </c>
      <c r="X20" s="36">
        <f t="shared" ref="X20:Y20" si="16">X12+X18+X19</f>
        <v>58656</v>
      </c>
      <c r="Y20" s="36">
        <f t="shared" si="16"/>
        <v>58839</v>
      </c>
      <c r="Z20" s="36">
        <f t="shared" ref="Z20:AA20" si="17">Z12+Z18+Z19</f>
        <v>60508</v>
      </c>
      <c r="AA20" s="36">
        <f t="shared" si="17"/>
        <v>57865</v>
      </c>
      <c r="AB20" s="78"/>
    </row>
    <row r="21" spans="2:28" s="2" customFormat="1">
      <c r="B21" s="77"/>
      <c r="C21" s="38"/>
      <c r="D21" s="38"/>
      <c r="E21" s="38"/>
      <c r="F21" s="38"/>
      <c r="G21" s="38"/>
      <c r="H21" s="38"/>
      <c r="I21" s="38"/>
      <c r="J21" s="38"/>
      <c r="K21" s="38"/>
      <c r="L21" s="38"/>
      <c r="M21" s="38"/>
      <c r="N21" s="77"/>
      <c r="O21" s="77"/>
      <c r="P21" s="77"/>
      <c r="Q21" s="77"/>
      <c r="R21" s="77"/>
      <c r="S21" s="77"/>
      <c r="T21" s="103"/>
      <c r="U21" s="103"/>
      <c r="V21" s="103"/>
      <c r="W21" s="77"/>
      <c r="X21" s="77"/>
      <c r="Y21" s="77"/>
      <c r="Z21" s="77"/>
      <c r="AA21" s="77"/>
      <c r="AB21" s="78"/>
    </row>
    <row r="22" spans="2:28" s="2" customFormat="1">
      <c r="B22" s="41"/>
      <c r="C22" s="13"/>
      <c r="D22" s="13"/>
      <c r="E22" s="13"/>
      <c r="F22" s="13"/>
      <c r="G22" s="13"/>
      <c r="H22" s="13"/>
      <c r="I22" s="13"/>
      <c r="J22" s="13"/>
      <c r="K22" s="13"/>
      <c r="L22" s="13"/>
      <c r="M22" s="13"/>
      <c r="N22" s="41"/>
      <c r="O22" s="41"/>
      <c r="P22" s="41"/>
      <c r="Q22" s="41"/>
      <c r="R22" s="41"/>
      <c r="S22" s="41"/>
      <c r="T22" s="104"/>
      <c r="U22" s="104"/>
      <c r="V22" s="104"/>
      <c r="W22" s="41"/>
      <c r="X22" s="41"/>
      <c r="Y22" s="41"/>
      <c r="Z22" s="41"/>
      <c r="AA22" s="41"/>
      <c r="AB22" s="78"/>
    </row>
    <row r="23" spans="2:28" s="2" customFormat="1">
      <c r="B23" s="14" t="s">
        <v>167</v>
      </c>
      <c r="C23" s="36">
        <v>29988</v>
      </c>
      <c r="D23" s="36">
        <v>30946</v>
      </c>
      <c r="E23" s="36">
        <v>32116</v>
      </c>
      <c r="F23" s="36">
        <v>28861</v>
      </c>
      <c r="G23" s="36">
        <v>30764</v>
      </c>
      <c r="H23" s="36">
        <v>29622</v>
      </c>
      <c r="I23" s="36">
        <v>29887</v>
      </c>
      <c r="J23" s="36">
        <v>28953</v>
      </c>
      <c r="K23" s="36">
        <v>31027</v>
      </c>
      <c r="L23" s="36">
        <v>30380</v>
      </c>
      <c r="M23" s="36">
        <v>31725</v>
      </c>
      <c r="N23" s="36">
        <v>32998</v>
      </c>
      <c r="O23" s="36">
        <v>34722</v>
      </c>
      <c r="P23" s="36">
        <v>35359</v>
      </c>
      <c r="Q23" s="36">
        <v>36952</v>
      </c>
      <c r="R23" s="36">
        <v>37488</v>
      </c>
      <c r="S23" s="36">
        <v>38579</v>
      </c>
      <c r="T23" s="36">
        <v>44394</v>
      </c>
      <c r="U23" s="36">
        <v>43843</v>
      </c>
      <c r="V23" s="36">
        <v>41727</v>
      </c>
      <c r="W23" s="36">
        <f>+W52</f>
        <v>43072</v>
      </c>
      <c r="X23" s="36">
        <f>+X52</f>
        <v>41258</v>
      </c>
      <c r="Y23" s="36">
        <f>+Y52</f>
        <v>40440</v>
      </c>
      <c r="Z23" s="36">
        <f>+Z52</f>
        <v>41569</v>
      </c>
      <c r="AA23" s="36">
        <f>+AA52</f>
        <v>38904</v>
      </c>
      <c r="AB23" s="78"/>
    </row>
    <row r="24" spans="2:28" s="2" customFormat="1">
      <c r="B24" s="10" t="s">
        <v>78</v>
      </c>
      <c r="C24" s="11">
        <v>12369</v>
      </c>
      <c r="D24" s="11">
        <v>12391</v>
      </c>
      <c r="E24" s="11">
        <v>13217</v>
      </c>
      <c r="F24" s="11">
        <v>13063</v>
      </c>
      <c r="G24" s="11">
        <v>13603</v>
      </c>
      <c r="H24" s="11">
        <v>14724</v>
      </c>
      <c r="I24" s="11">
        <v>13798</v>
      </c>
      <c r="J24" s="11">
        <v>10718</v>
      </c>
      <c r="K24" s="11">
        <v>9747</v>
      </c>
      <c r="L24" s="11">
        <v>8887</v>
      </c>
      <c r="M24" s="11">
        <v>9711</v>
      </c>
      <c r="N24" s="11">
        <v>9666</v>
      </c>
      <c r="O24" s="11">
        <v>9205</v>
      </c>
      <c r="P24" s="11">
        <v>9975</v>
      </c>
      <c r="Q24" s="11">
        <v>9410</v>
      </c>
      <c r="R24" s="11">
        <v>9029</v>
      </c>
      <c r="S24" s="11">
        <v>8460</v>
      </c>
      <c r="T24" s="11">
        <v>8297</v>
      </c>
      <c r="U24" s="11">
        <v>8226</v>
      </c>
      <c r="V24" s="11">
        <v>5344</v>
      </c>
      <c r="W24" s="11">
        <v>5532</v>
      </c>
      <c r="X24" s="11">
        <v>4943</v>
      </c>
      <c r="Y24" s="11">
        <v>5388</v>
      </c>
      <c r="Z24" s="11">
        <v>5474</v>
      </c>
      <c r="AA24" s="11">
        <v>5228</v>
      </c>
      <c r="AB24" s="78"/>
    </row>
    <row r="25" spans="2:28" s="2" customFormat="1">
      <c r="B25" s="10" t="s">
        <v>79</v>
      </c>
      <c r="C25" s="11">
        <v>136</v>
      </c>
      <c r="D25" s="11">
        <v>199</v>
      </c>
      <c r="E25" s="11">
        <v>242</v>
      </c>
      <c r="F25" s="11">
        <v>188</v>
      </c>
      <c r="G25" s="11">
        <v>301</v>
      </c>
      <c r="H25" s="11">
        <v>332</v>
      </c>
      <c r="I25" s="11">
        <v>324</v>
      </c>
      <c r="J25" s="11">
        <v>272</v>
      </c>
      <c r="K25" s="11">
        <v>223</v>
      </c>
      <c r="L25" s="11">
        <v>206</v>
      </c>
      <c r="M25" s="11">
        <v>193</v>
      </c>
      <c r="N25" s="11">
        <v>202</v>
      </c>
      <c r="O25" s="11">
        <v>91</v>
      </c>
      <c r="P25" s="11">
        <v>76</v>
      </c>
      <c r="Q25" s="11">
        <v>57</v>
      </c>
      <c r="R25" s="11">
        <v>86</v>
      </c>
      <c r="S25" s="11">
        <v>83</v>
      </c>
      <c r="T25" s="11">
        <v>83</v>
      </c>
      <c r="U25" s="11">
        <v>74</v>
      </c>
      <c r="V25" s="11">
        <v>71</v>
      </c>
      <c r="W25" s="11">
        <v>66</v>
      </c>
      <c r="X25" s="11">
        <v>65</v>
      </c>
      <c r="Y25" s="11">
        <v>59</v>
      </c>
      <c r="Z25" s="11">
        <v>57</v>
      </c>
      <c r="AA25" s="11">
        <v>47</v>
      </c>
      <c r="AB25" s="78"/>
    </row>
    <row r="26" spans="2:28" s="2" customFormat="1">
      <c r="B26" s="10" t="s">
        <v>80</v>
      </c>
      <c r="C26" s="11">
        <v>538</v>
      </c>
      <c r="D26" s="11">
        <v>620</v>
      </c>
      <c r="E26" s="11">
        <v>731</v>
      </c>
      <c r="F26" s="11">
        <v>604</v>
      </c>
      <c r="G26" s="11">
        <v>640</v>
      </c>
      <c r="H26" s="11">
        <v>614</v>
      </c>
      <c r="I26" s="11">
        <v>661</v>
      </c>
      <c r="J26" s="11">
        <v>619</v>
      </c>
      <c r="K26" s="11">
        <v>580</v>
      </c>
      <c r="L26" s="11">
        <v>578</v>
      </c>
      <c r="M26" s="11">
        <v>581</v>
      </c>
      <c r="N26" s="11">
        <v>525</v>
      </c>
      <c r="O26" s="11">
        <v>359</v>
      </c>
      <c r="P26" s="11">
        <v>341</v>
      </c>
      <c r="Q26" s="11">
        <v>339</v>
      </c>
      <c r="R26" s="11">
        <v>352</v>
      </c>
      <c r="S26" s="11">
        <v>357</v>
      </c>
      <c r="T26" s="11">
        <v>360</v>
      </c>
      <c r="U26" s="11">
        <v>340</v>
      </c>
      <c r="V26" s="11">
        <v>346</v>
      </c>
      <c r="W26" s="11">
        <v>388</v>
      </c>
      <c r="X26" s="11">
        <v>387</v>
      </c>
      <c r="Y26" s="11">
        <v>410</v>
      </c>
      <c r="Z26" s="11">
        <v>447</v>
      </c>
      <c r="AA26" s="11">
        <v>389</v>
      </c>
      <c r="AB26" s="78"/>
    </row>
    <row r="27" spans="2:28" s="2" customFormat="1">
      <c r="B27" s="10" t="s">
        <v>81</v>
      </c>
      <c r="C27" s="11">
        <v>219</v>
      </c>
      <c r="D27" s="11">
        <v>220</v>
      </c>
      <c r="E27" s="11">
        <v>222</v>
      </c>
      <c r="F27" s="11">
        <v>202</v>
      </c>
      <c r="G27" s="11">
        <v>199</v>
      </c>
      <c r="H27" s="11">
        <v>168</v>
      </c>
      <c r="I27" s="11">
        <v>153</v>
      </c>
      <c r="J27" s="11">
        <v>149</v>
      </c>
      <c r="K27" s="11">
        <v>137</v>
      </c>
      <c r="L27" s="11">
        <v>142</v>
      </c>
      <c r="M27" s="11">
        <v>141</v>
      </c>
      <c r="N27" s="11">
        <v>152</v>
      </c>
      <c r="O27" s="11">
        <v>139</v>
      </c>
      <c r="P27" s="11">
        <v>210</v>
      </c>
      <c r="Q27" s="11">
        <v>210</v>
      </c>
      <c r="R27" s="11">
        <v>288</v>
      </c>
      <c r="S27" s="11">
        <v>289</v>
      </c>
      <c r="T27" s="11">
        <v>298</v>
      </c>
      <c r="U27" s="11">
        <v>296</v>
      </c>
      <c r="V27" s="11">
        <v>447</v>
      </c>
      <c r="W27" s="11">
        <v>423</v>
      </c>
      <c r="X27" s="11">
        <v>422</v>
      </c>
      <c r="Y27" s="11">
        <v>425</v>
      </c>
      <c r="Z27" s="11">
        <v>403</v>
      </c>
      <c r="AA27" s="11">
        <v>394</v>
      </c>
      <c r="AB27" s="78"/>
    </row>
    <row r="28" spans="2:28" s="2" customFormat="1">
      <c r="B28" s="10" t="s">
        <v>82</v>
      </c>
      <c r="C28" s="11">
        <v>1103</v>
      </c>
      <c r="D28" s="11">
        <v>1107</v>
      </c>
      <c r="E28" s="11">
        <v>1093</v>
      </c>
      <c r="F28" s="11">
        <v>1075</v>
      </c>
      <c r="G28" s="11">
        <v>1150</v>
      </c>
      <c r="H28" s="11">
        <v>1088</v>
      </c>
      <c r="I28" s="11">
        <v>978</v>
      </c>
      <c r="J28" s="11">
        <v>899</v>
      </c>
      <c r="K28" s="11">
        <v>796</v>
      </c>
      <c r="L28" s="11">
        <v>830</v>
      </c>
      <c r="M28" s="11">
        <v>867</v>
      </c>
      <c r="N28" s="11">
        <v>926</v>
      </c>
      <c r="O28" s="11">
        <v>683</v>
      </c>
      <c r="P28" s="11">
        <v>842</v>
      </c>
      <c r="Q28" s="11">
        <v>891</v>
      </c>
      <c r="R28" s="11">
        <v>910</v>
      </c>
      <c r="S28" s="11">
        <v>924</v>
      </c>
      <c r="T28" s="11">
        <v>890</v>
      </c>
      <c r="U28" s="11">
        <v>868</v>
      </c>
      <c r="V28" s="11">
        <v>799</v>
      </c>
      <c r="W28" s="11">
        <v>854</v>
      </c>
      <c r="X28" s="11">
        <v>909</v>
      </c>
      <c r="Y28" s="11">
        <v>1286</v>
      </c>
      <c r="Z28" s="11">
        <v>1405</v>
      </c>
      <c r="AA28" s="11">
        <v>1254</v>
      </c>
      <c r="AB28" s="78"/>
    </row>
    <row r="29" spans="2:28" s="2" customFormat="1">
      <c r="B29" s="14" t="s">
        <v>83</v>
      </c>
      <c r="C29" s="36">
        <f t="shared" ref="C29:P29" si="18">SUM(C24:C28)</f>
        <v>14365</v>
      </c>
      <c r="D29" s="36">
        <f t="shared" si="18"/>
        <v>14537</v>
      </c>
      <c r="E29" s="36">
        <f t="shared" si="18"/>
        <v>15505</v>
      </c>
      <c r="F29" s="36">
        <f t="shared" si="18"/>
        <v>15132</v>
      </c>
      <c r="G29" s="36">
        <f t="shared" si="18"/>
        <v>15893</v>
      </c>
      <c r="H29" s="36">
        <f t="shared" si="18"/>
        <v>16926</v>
      </c>
      <c r="I29" s="36">
        <f t="shared" si="18"/>
        <v>15914</v>
      </c>
      <c r="J29" s="36">
        <f t="shared" si="18"/>
        <v>12657</v>
      </c>
      <c r="K29" s="36">
        <f t="shared" si="18"/>
        <v>11483</v>
      </c>
      <c r="L29" s="36">
        <f t="shared" si="18"/>
        <v>10643</v>
      </c>
      <c r="M29" s="36">
        <f t="shared" si="18"/>
        <v>11493</v>
      </c>
      <c r="N29" s="36">
        <f t="shared" si="18"/>
        <v>11471</v>
      </c>
      <c r="O29" s="36">
        <f t="shared" si="18"/>
        <v>10477</v>
      </c>
      <c r="P29" s="36">
        <f t="shared" si="18"/>
        <v>11444</v>
      </c>
      <c r="Q29" s="36">
        <f t="shared" ref="Q29:R29" si="19">SUM(Q24:Q28)</f>
        <v>10907</v>
      </c>
      <c r="R29" s="36">
        <f t="shared" si="19"/>
        <v>10665</v>
      </c>
      <c r="S29" s="36">
        <f t="shared" ref="S29:T29" si="20">SUM(S24:S28)</f>
        <v>10113</v>
      </c>
      <c r="T29" s="36">
        <f t="shared" si="20"/>
        <v>9928</v>
      </c>
      <c r="U29" s="36">
        <f t="shared" ref="U29:W29" si="21">SUM(U24:U28)</f>
        <v>9804</v>
      </c>
      <c r="V29" s="36">
        <f t="shared" si="21"/>
        <v>7007</v>
      </c>
      <c r="W29" s="36">
        <f t="shared" si="21"/>
        <v>7263</v>
      </c>
      <c r="X29" s="36">
        <f t="shared" ref="X29:Y29" si="22">SUM(X24:X28)</f>
        <v>6726</v>
      </c>
      <c r="Y29" s="36">
        <f t="shared" si="22"/>
        <v>7568</v>
      </c>
      <c r="Z29" s="36">
        <f t="shared" ref="Z29:AA29" si="23">SUM(Z24:Z28)</f>
        <v>7786</v>
      </c>
      <c r="AA29" s="36">
        <f t="shared" si="23"/>
        <v>7312</v>
      </c>
      <c r="AB29" s="78"/>
    </row>
    <row r="30" spans="2:28" s="2" customFormat="1">
      <c r="B30" s="10" t="s">
        <v>84</v>
      </c>
      <c r="C30" s="11">
        <v>5418</v>
      </c>
      <c r="D30" s="11">
        <v>4868</v>
      </c>
      <c r="E30" s="11">
        <v>4602</v>
      </c>
      <c r="F30" s="11">
        <v>4234</v>
      </c>
      <c r="G30" s="11">
        <v>5718</v>
      </c>
      <c r="H30" s="11">
        <v>4785</v>
      </c>
      <c r="I30" s="11">
        <v>5630</v>
      </c>
      <c r="J30" s="11">
        <v>4706</v>
      </c>
      <c r="K30" s="11">
        <v>4362</v>
      </c>
      <c r="L30" s="11">
        <v>3405</v>
      </c>
      <c r="M30" s="11">
        <v>2491</v>
      </c>
      <c r="N30" s="11">
        <v>1738</v>
      </c>
      <c r="O30" s="11">
        <v>703</v>
      </c>
      <c r="P30" s="11">
        <v>2997</v>
      </c>
      <c r="Q30" s="11">
        <v>5076</v>
      </c>
      <c r="R30" s="11">
        <v>16124</v>
      </c>
      <c r="S30" s="11">
        <v>16783</v>
      </c>
      <c r="T30" s="11">
        <v>1425</v>
      </c>
      <c r="U30" s="11">
        <v>486</v>
      </c>
      <c r="V30" s="11">
        <v>2953</v>
      </c>
      <c r="W30" s="11">
        <v>1251</v>
      </c>
      <c r="X30" s="11">
        <v>2072</v>
      </c>
      <c r="Y30" s="11">
        <v>2010</v>
      </c>
      <c r="Z30" s="11">
        <v>3087</v>
      </c>
      <c r="AA30" s="11">
        <v>3675</v>
      </c>
      <c r="AB30" s="78"/>
    </row>
    <row r="31" spans="2:28" s="2" customFormat="1">
      <c r="B31" s="10" t="s">
        <v>85</v>
      </c>
      <c r="C31" s="11">
        <v>1160</v>
      </c>
      <c r="D31" s="11">
        <v>1214</v>
      </c>
      <c r="E31" s="11">
        <v>1228</v>
      </c>
      <c r="F31" s="11">
        <v>1234</v>
      </c>
      <c r="G31" s="11">
        <v>1294</v>
      </c>
      <c r="H31" s="11">
        <v>1265</v>
      </c>
      <c r="I31" s="11">
        <v>1380</v>
      </c>
      <c r="J31" s="11">
        <v>1138</v>
      </c>
      <c r="K31" s="11">
        <v>1262</v>
      </c>
      <c r="L31" s="11">
        <v>1294</v>
      </c>
      <c r="M31" s="11">
        <v>1345</v>
      </c>
      <c r="N31" s="11">
        <v>1309</v>
      </c>
      <c r="O31" s="11">
        <v>1321</v>
      </c>
      <c r="P31" s="11">
        <v>1413</v>
      </c>
      <c r="Q31" s="11">
        <v>1609</v>
      </c>
      <c r="R31" s="11">
        <v>1360</v>
      </c>
      <c r="S31" s="11">
        <v>1032</v>
      </c>
      <c r="T31" s="11">
        <v>1242</v>
      </c>
      <c r="U31" s="11">
        <v>1449</v>
      </c>
      <c r="V31" s="11">
        <v>1241</v>
      </c>
      <c r="W31" s="11">
        <v>1276</v>
      </c>
      <c r="X31" s="11">
        <v>1502</v>
      </c>
      <c r="Y31" s="11">
        <v>1714</v>
      </c>
      <c r="Z31" s="11">
        <v>1250</v>
      </c>
      <c r="AA31" s="11">
        <v>1450</v>
      </c>
      <c r="AB31" s="78"/>
    </row>
    <row r="32" spans="2:28" s="2" customFormat="1">
      <c r="B32" s="10" t="s">
        <v>86</v>
      </c>
      <c r="C32" s="11">
        <v>6554</v>
      </c>
      <c r="D32" s="11">
        <v>6455</v>
      </c>
      <c r="E32" s="11">
        <v>6699</v>
      </c>
      <c r="F32" s="11">
        <v>6317</v>
      </c>
      <c r="G32" s="11">
        <v>6684</v>
      </c>
      <c r="H32" s="11">
        <v>5839</v>
      </c>
      <c r="I32" s="11">
        <v>5868</v>
      </c>
      <c r="J32" s="11">
        <v>5987</v>
      </c>
      <c r="K32" s="11">
        <v>6246</v>
      </c>
      <c r="L32" s="11">
        <v>6640</v>
      </c>
      <c r="M32" s="11">
        <v>6974</v>
      </c>
      <c r="N32" s="11">
        <v>7162</v>
      </c>
      <c r="O32" s="11">
        <v>5087</v>
      </c>
      <c r="P32" s="11">
        <v>5431</v>
      </c>
      <c r="Q32" s="11">
        <v>5788</v>
      </c>
      <c r="R32" s="11">
        <v>6045</v>
      </c>
      <c r="S32" s="11">
        <v>5969</v>
      </c>
      <c r="T32" s="11">
        <v>7372</v>
      </c>
      <c r="U32" s="11">
        <v>7149</v>
      </c>
      <c r="V32" s="11">
        <v>6080</v>
      </c>
      <c r="W32" s="11">
        <v>6424</v>
      </c>
      <c r="X32" s="11">
        <v>6664</v>
      </c>
      <c r="Y32" s="11">
        <v>6715</v>
      </c>
      <c r="Z32" s="11">
        <v>6452</v>
      </c>
      <c r="AA32" s="11">
        <v>6199</v>
      </c>
      <c r="AB32" s="78"/>
    </row>
    <row r="33" spans="2:28" s="2" customFormat="1">
      <c r="B33" s="10" t="s">
        <v>81</v>
      </c>
      <c r="C33" s="11">
        <v>318</v>
      </c>
      <c r="D33" s="11">
        <v>327</v>
      </c>
      <c r="E33" s="11">
        <v>336</v>
      </c>
      <c r="F33" s="11">
        <v>393</v>
      </c>
      <c r="G33" s="11">
        <v>369</v>
      </c>
      <c r="H33" s="11">
        <v>397</v>
      </c>
      <c r="I33" s="11">
        <v>418</v>
      </c>
      <c r="J33" s="11">
        <v>323</v>
      </c>
      <c r="K33" s="11">
        <v>288</v>
      </c>
      <c r="L33" s="11">
        <v>320</v>
      </c>
      <c r="M33" s="11">
        <v>353</v>
      </c>
      <c r="N33" s="11">
        <v>380</v>
      </c>
      <c r="O33" s="11">
        <v>333</v>
      </c>
      <c r="P33" s="11">
        <v>338</v>
      </c>
      <c r="Q33" s="11">
        <v>349</v>
      </c>
      <c r="R33" s="11">
        <v>361</v>
      </c>
      <c r="S33" s="11">
        <v>346</v>
      </c>
      <c r="T33" s="11">
        <v>457</v>
      </c>
      <c r="U33" s="11">
        <v>406</v>
      </c>
      <c r="V33" s="11">
        <v>495</v>
      </c>
      <c r="W33" s="11">
        <v>473</v>
      </c>
      <c r="X33" s="11">
        <v>434</v>
      </c>
      <c r="Y33" s="11">
        <v>392</v>
      </c>
      <c r="Z33" s="11">
        <v>364</v>
      </c>
      <c r="AA33" s="11">
        <v>325</v>
      </c>
      <c r="AB33" s="78"/>
    </row>
    <row r="34" spans="2:28" s="2" customFormat="1">
      <c r="B34" s="14" t="s">
        <v>87</v>
      </c>
      <c r="C34" s="36">
        <f t="shared" ref="C34:P34" si="24">SUM(C30:C33)</f>
        <v>13450</v>
      </c>
      <c r="D34" s="36">
        <f t="shared" si="24"/>
        <v>12864</v>
      </c>
      <c r="E34" s="36">
        <f t="shared" si="24"/>
        <v>12865</v>
      </c>
      <c r="F34" s="36">
        <f t="shared" si="24"/>
        <v>12178</v>
      </c>
      <c r="G34" s="36">
        <f t="shared" si="24"/>
        <v>14065</v>
      </c>
      <c r="H34" s="36">
        <f t="shared" si="24"/>
        <v>12286</v>
      </c>
      <c r="I34" s="36">
        <f t="shared" si="24"/>
        <v>13296</v>
      </c>
      <c r="J34" s="36">
        <f t="shared" si="24"/>
        <v>12154</v>
      </c>
      <c r="K34" s="36">
        <f t="shared" si="24"/>
        <v>12158</v>
      </c>
      <c r="L34" s="36">
        <f t="shared" si="24"/>
        <v>11659</v>
      </c>
      <c r="M34" s="36">
        <f t="shared" si="24"/>
        <v>11163</v>
      </c>
      <c r="N34" s="36">
        <f t="shared" si="24"/>
        <v>10589</v>
      </c>
      <c r="O34" s="36">
        <f t="shared" si="24"/>
        <v>7444</v>
      </c>
      <c r="P34" s="36">
        <f t="shared" si="24"/>
        <v>10179</v>
      </c>
      <c r="Q34" s="36">
        <f t="shared" ref="Q34:R34" si="25">SUM(Q30:Q33)</f>
        <v>12822</v>
      </c>
      <c r="R34" s="36">
        <f t="shared" si="25"/>
        <v>23890</v>
      </c>
      <c r="S34" s="36">
        <f t="shared" ref="S34:T34" si="26">SUM(S30:S33)</f>
        <v>24130</v>
      </c>
      <c r="T34" s="36">
        <f t="shared" si="26"/>
        <v>10496</v>
      </c>
      <c r="U34" s="36">
        <f t="shared" ref="U34:W34" si="27">SUM(U30:U33)</f>
        <v>9490</v>
      </c>
      <c r="V34" s="36">
        <f t="shared" si="27"/>
        <v>10769</v>
      </c>
      <c r="W34" s="36">
        <f t="shared" si="27"/>
        <v>9424</v>
      </c>
      <c r="X34" s="36">
        <f t="shared" ref="X34:Y34" si="28">SUM(X30:X33)</f>
        <v>10672</v>
      </c>
      <c r="Y34" s="36">
        <f t="shared" si="28"/>
        <v>10831</v>
      </c>
      <c r="Z34" s="36">
        <f t="shared" ref="Z34:AA34" si="29">SUM(Z30:Z33)</f>
        <v>11153</v>
      </c>
      <c r="AA34" s="36">
        <f t="shared" si="29"/>
        <v>11649</v>
      </c>
      <c r="AB34" s="78"/>
    </row>
    <row r="35" spans="2:28" s="2" customFormat="1">
      <c r="B35" s="10" t="s">
        <v>208</v>
      </c>
      <c r="C35" s="101">
        <v>0</v>
      </c>
      <c r="D35" s="101">
        <v>0</v>
      </c>
      <c r="E35" s="101">
        <v>0</v>
      </c>
      <c r="F35" s="101">
        <v>0</v>
      </c>
      <c r="G35" s="101">
        <v>0</v>
      </c>
      <c r="H35" s="101">
        <v>0</v>
      </c>
      <c r="I35" s="39">
        <v>0</v>
      </c>
      <c r="J35" s="39">
        <v>0</v>
      </c>
      <c r="K35" s="90">
        <v>932</v>
      </c>
      <c r="L35" s="90">
        <v>764</v>
      </c>
      <c r="M35" s="90">
        <v>767</v>
      </c>
      <c r="N35" s="90">
        <v>582</v>
      </c>
      <c r="O35" s="90">
        <v>4594</v>
      </c>
      <c r="P35" s="90">
        <v>4994</v>
      </c>
      <c r="Q35" s="90">
        <v>4902</v>
      </c>
      <c r="R35" s="90">
        <v>5023</v>
      </c>
      <c r="S35" s="90">
        <v>4830</v>
      </c>
      <c r="T35" s="40">
        <v>0</v>
      </c>
      <c r="U35" s="40">
        <v>0</v>
      </c>
      <c r="V35" s="40">
        <v>0</v>
      </c>
      <c r="W35" s="40">
        <v>0</v>
      </c>
      <c r="X35" s="40">
        <v>0</v>
      </c>
      <c r="Y35" s="40">
        <v>0</v>
      </c>
      <c r="Z35" s="40">
        <v>0</v>
      </c>
      <c r="AA35" s="40">
        <v>0</v>
      </c>
      <c r="AB35" s="78"/>
    </row>
    <row r="36" spans="2:28" s="2" customFormat="1">
      <c r="B36" s="14" t="s">
        <v>88</v>
      </c>
      <c r="C36" s="36">
        <f t="shared" ref="C36:J36" si="30">C23+C29+C34</f>
        <v>57803</v>
      </c>
      <c r="D36" s="36">
        <f t="shared" si="30"/>
        <v>58347</v>
      </c>
      <c r="E36" s="36">
        <f t="shared" si="30"/>
        <v>60486</v>
      </c>
      <c r="F36" s="36">
        <f t="shared" si="30"/>
        <v>56171</v>
      </c>
      <c r="G36" s="36">
        <f t="shared" si="30"/>
        <v>60722</v>
      </c>
      <c r="H36" s="36">
        <f t="shared" si="30"/>
        <v>58834</v>
      </c>
      <c r="I36" s="36">
        <f t="shared" si="30"/>
        <v>59097</v>
      </c>
      <c r="J36" s="36">
        <f t="shared" si="30"/>
        <v>53764</v>
      </c>
      <c r="K36" s="36">
        <f t="shared" ref="K36:P36" si="31">K23+K29+K34+K35</f>
        <v>55600</v>
      </c>
      <c r="L36" s="36">
        <f t="shared" si="31"/>
        <v>53446</v>
      </c>
      <c r="M36" s="36">
        <f t="shared" si="31"/>
        <v>55148</v>
      </c>
      <c r="N36" s="36">
        <f t="shared" si="31"/>
        <v>55640</v>
      </c>
      <c r="O36" s="36">
        <f t="shared" si="31"/>
        <v>57237</v>
      </c>
      <c r="P36" s="36">
        <f t="shared" si="31"/>
        <v>61976</v>
      </c>
      <c r="Q36" s="36">
        <f t="shared" ref="Q36:R36" si="32">Q23+Q29+Q34+Q35</f>
        <v>65583</v>
      </c>
      <c r="R36" s="36">
        <f t="shared" si="32"/>
        <v>77066</v>
      </c>
      <c r="S36" s="36">
        <f t="shared" ref="S36:T36" si="33">S23+S29+S34+S35</f>
        <v>77652</v>
      </c>
      <c r="T36" s="36">
        <f t="shared" si="33"/>
        <v>64818</v>
      </c>
      <c r="U36" s="36">
        <f t="shared" ref="U36:W36" si="34">U23+U29+U34+U35</f>
        <v>63137</v>
      </c>
      <c r="V36" s="36">
        <f t="shared" si="34"/>
        <v>59503</v>
      </c>
      <c r="W36" s="36">
        <f t="shared" si="34"/>
        <v>59759</v>
      </c>
      <c r="X36" s="36">
        <f t="shared" ref="X36" si="35">X23+X29+X34+X35</f>
        <v>58656</v>
      </c>
      <c r="Y36" s="36">
        <f>Y23+Y29+Y34+Y35</f>
        <v>58839</v>
      </c>
      <c r="Z36" s="36">
        <f>Z23+Z29+Z34+Z35</f>
        <v>60508</v>
      </c>
      <c r="AA36" s="36">
        <f t="shared" ref="AA36" si="36">AA23+AA29+AA34+AA35</f>
        <v>57865</v>
      </c>
      <c r="AB36" s="78"/>
    </row>
    <row r="37" spans="2:28" s="2" customFormat="1">
      <c r="B37" s="41"/>
      <c r="C37" s="41"/>
      <c r="D37" s="41"/>
      <c r="E37" s="41"/>
      <c r="F37" s="41"/>
      <c r="G37" s="41"/>
      <c r="H37" s="41"/>
      <c r="I37" s="41"/>
      <c r="J37" s="41"/>
      <c r="K37" s="41"/>
      <c r="L37" s="41"/>
      <c r="M37" s="41"/>
      <c r="N37" s="41"/>
      <c r="O37" s="41"/>
      <c r="P37" s="41"/>
      <c r="AB37" s="78"/>
    </row>
    <row r="38" spans="2:28" s="2" customFormat="1">
      <c r="B38" s="82"/>
      <c r="C38" s="41"/>
      <c r="D38" s="41"/>
      <c r="E38" s="41"/>
      <c r="F38" s="41"/>
      <c r="G38" s="41"/>
      <c r="H38" s="41"/>
      <c r="I38" s="41"/>
      <c r="J38" s="41"/>
      <c r="K38" s="41"/>
      <c r="L38" s="41"/>
      <c r="M38" s="41"/>
      <c r="N38" s="41"/>
      <c r="O38" s="82"/>
      <c r="P38" s="82"/>
      <c r="AB38" s="78"/>
    </row>
    <row r="39" spans="2:28">
      <c r="B39" s="31" t="s">
        <v>89</v>
      </c>
      <c r="C39" s="32" t="s">
        <v>64</v>
      </c>
      <c r="D39" s="32" t="s">
        <v>63</v>
      </c>
      <c r="E39" s="32" t="s">
        <v>62</v>
      </c>
      <c r="F39" s="32" t="s">
        <v>61</v>
      </c>
      <c r="G39" s="32" t="s">
        <v>64</v>
      </c>
      <c r="H39" s="32" t="s">
        <v>63</v>
      </c>
      <c r="I39" s="32" t="s">
        <v>62</v>
      </c>
      <c r="J39" s="32" t="s">
        <v>61</v>
      </c>
      <c r="K39" s="32" t="s">
        <v>64</v>
      </c>
      <c r="L39" s="32" t="s">
        <v>63</v>
      </c>
      <c r="M39" s="32" t="s">
        <v>62</v>
      </c>
      <c r="N39" s="32" t="s">
        <v>61</v>
      </c>
      <c r="O39" s="32" t="s">
        <v>64</v>
      </c>
      <c r="P39" s="32" t="s">
        <v>63</v>
      </c>
      <c r="Q39" s="32" t="s">
        <v>62</v>
      </c>
      <c r="R39" s="32" t="s">
        <v>61</v>
      </c>
      <c r="S39" s="32" t="s">
        <v>64</v>
      </c>
      <c r="T39" s="32" t="s">
        <v>246</v>
      </c>
      <c r="U39" s="32" t="s">
        <v>255</v>
      </c>
      <c r="V39" s="32" t="s">
        <v>61</v>
      </c>
      <c r="W39" s="32" t="s">
        <v>64</v>
      </c>
      <c r="X39" s="32" t="str">
        <f>+X3</f>
        <v>30 jun</v>
      </c>
      <c r="Y39" s="32" t="str">
        <f>+Y3</f>
        <v>30 sep</v>
      </c>
      <c r="Z39" s="32" t="str">
        <f>+Z3</f>
        <v>31 dec</v>
      </c>
      <c r="AA39" s="32" t="s">
        <v>64</v>
      </c>
      <c r="AB39" s="78"/>
    </row>
    <row r="40" spans="2:28">
      <c r="B40" s="33"/>
      <c r="C40" s="34">
        <v>2019</v>
      </c>
      <c r="D40" s="34">
        <v>2019</v>
      </c>
      <c r="E40" s="34">
        <v>2019</v>
      </c>
      <c r="F40" s="34">
        <v>2019</v>
      </c>
      <c r="G40" s="33">
        <v>2020</v>
      </c>
      <c r="H40" s="34">
        <v>2020</v>
      </c>
      <c r="I40" s="33">
        <v>2020</v>
      </c>
      <c r="J40" s="33">
        <v>2020</v>
      </c>
      <c r="K40" s="33">
        <v>2021</v>
      </c>
      <c r="L40" s="33">
        <v>2021</v>
      </c>
      <c r="M40" s="33">
        <v>2021</v>
      </c>
      <c r="N40" s="33">
        <v>2021</v>
      </c>
      <c r="O40" s="33">
        <v>2022</v>
      </c>
      <c r="P40" s="33">
        <v>2022</v>
      </c>
      <c r="Q40" s="33">
        <v>2022</v>
      </c>
      <c r="R40" s="33">
        <v>2022</v>
      </c>
      <c r="S40" s="33">
        <v>2023</v>
      </c>
      <c r="T40" s="33">
        <v>2023</v>
      </c>
      <c r="U40" s="33">
        <v>2023</v>
      </c>
      <c r="V40" s="33">
        <v>2023</v>
      </c>
      <c r="W40" s="33">
        <v>2024</v>
      </c>
      <c r="X40" s="33">
        <v>2024</v>
      </c>
      <c r="Y40" s="33">
        <v>2024</v>
      </c>
      <c r="Z40" s="33">
        <v>2024</v>
      </c>
      <c r="AA40" s="33">
        <f>+AA4</f>
        <v>2025</v>
      </c>
      <c r="AB40" s="78"/>
    </row>
    <row r="41" spans="2:28" s="2" customFormat="1">
      <c r="B41" s="42" t="s">
        <v>104</v>
      </c>
      <c r="C41" s="43">
        <v>29767</v>
      </c>
      <c r="D41" s="43">
        <v>29767</v>
      </c>
      <c r="E41" s="43">
        <v>29767</v>
      </c>
      <c r="F41" s="43">
        <v>29767</v>
      </c>
      <c r="G41" s="43">
        <f>F52</f>
        <v>28861</v>
      </c>
      <c r="H41" s="43">
        <f>F52</f>
        <v>28861</v>
      </c>
      <c r="I41" s="43">
        <f>F52</f>
        <v>28861</v>
      </c>
      <c r="J41" s="43">
        <f>F52</f>
        <v>28861</v>
      </c>
      <c r="K41" s="43">
        <f>J52</f>
        <v>28953</v>
      </c>
      <c r="L41" s="43">
        <f>J52</f>
        <v>28953</v>
      </c>
      <c r="M41" s="43">
        <f>J52</f>
        <v>28953</v>
      </c>
      <c r="N41" s="43">
        <f>J52</f>
        <v>28953</v>
      </c>
      <c r="O41" s="43">
        <f>N52</f>
        <v>32998</v>
      </c>
      <c r="P41" s="43">
        <f>N52</f>
        <v>32998</v>
      </c>
      <c r="Q41" s="43">
        <f>N52</f>
        <v>32998</v>
      </c>
      <c r="R41" s="43">
        <f>N52</f>
        <v>32998</v>
      </c>
      <c r="S41" s="43">
        <f>R52</f>
        <v>37488</v>
      </c>
      <c r="T41" s="43">
        <f>R52</f>
        <v>37488</v>
      </c>
      <c r="U41" s="43">
        <f>R52</f>
        <v>37488</v>
      </c>
      <c r="V41" s="43">
        <f>R52</f>
        <v>37488</v>
      </c>
      <c r="W41" s="43">
        <f>V52</f>
        <v>41727</v>
      </c>
      <c r="X41" s="43">
        <f>+W41</f>
        <v>41727</v>
      </c>
      <c r="Y41" s="43">
        <f>+X41</f>
        <v>41727</v>
      </c>
      <c r="Z41" s="43">
        <f>+Y41</f>
        <v>41727</v>
      </c>
      <c r="AA41" s="43">
        <f>Z52</f>
        <v>41569</v>
      </c>
      <c r="AB41" s="78"/>
    </row>
    <row r="42" spans="2:28" s="2" customFormat="1">
      <c r="B42" s="10" t="s">
        <v>170</v>
      </c>
      <c r="C42" s="40">
        <v>-138</v>
      </c>
      <c r="D42" s="40">
        <v>-139</v>
      </c>
      <c r="E42" s="40">
        <v>-135</v>
      </c>
      <c r="F42" s="40">
        <v>-133</v>
      </c>
      <c r="G42" s="40">
        <v>0</v>
      </c>
      <c r="H42" s="40">
        <v>0</v>
      </c>
      <c r="I42" s="40">
        <v>0</v>
      </c>
      <c r="J42" s="40">
        <v>0</v>
      </c>
      <c r="K42" s="40">
        <v>0</v>
      </c>
      <c r="L42" s="40">
        <v>-4</v>
      </c>
      <c r="M42" s="40">
        <v>0</v>
      </c>
      <c r="N42" s="40">
        <v>0</v>
      </c>
      <c r="O42" s="40">
        <v>0</v>
      </c>
      <c r="P42" s="40">
        <v>0</v>
      </c>
      <c r="Q42" s="40">
        <v>0</v>
      </c>
      <c r="R42" s="40">
        <v>0</v>
      </c>
      <c r="S42" s="40">
        <v>0</v>
      </c>
      <c r="T42" s="40">
        <v>0</v>
      </c>
      <c r="U42" s="40">
        <v>0</v>
      </c>
      <c r="V42" s="40">
        <v>0</v>
      </c>
      <c r="W42" s="40">
        <v>0</v>
      </c>
      <c r="X42" s="40">
        <v>0</v>
      </c>
      <c r="Y42" s="40">
        <v>0</v>
      </c>
      <c r="Z42" s="40">
        <v>0</v>
      </c>
      <c r="AA42" s="40">
        <v>0</v>
      </c>
      <c r="AB42" s="78"/>
    </row>
    <row r="43" spans="2:28" s="2" customFormat="1">
      <c r="B43" s="10" t="s">
        <v>299</v>
      </c>
      <c r="C43" s="51">
        <f>RR!C41</f>
        <v>852</v>
      </c>
      <c r="D43" s="51">
        <f>RR!C41+RR!D41</f>
        <v>1658</v>
      </c>
      <c r="E43" s="51">
        <f>RR!C41+RR!D41+RR!E41</f>
        <v>2320</v>
      </c>
      <c r="F43" s="51">
        <f>RR!C41+RR!D41+RR!E41+RR!F41</f>
        <v>-199</v>
      </c>
      <c r="G43" s="51">
        <f>RR!H41</f>
        <v>827</v>
      </c>
      <c r="H43" s="51">
        <f>RR!H41+RR!I41</f>
        <v>1399</v>
      </c>
      <c r="I43" s="51">
        <f>RR!H41+RR!I41+RR!J41</f>
        <v>2051</v>
      </c>
      <c r="J43" s="51">
        <f>RR!H41+RR!I41+RR!J41+RR!K41</f>
        <v>2711</v>
      </c>
      <c r="K43" s="51">
        <f>RR!M41</f>
        <v>1104</v>
      </c>
      <c r="L43" s="51">
        <f>RR!M41+RR!N41</f>
        <v>2096</v>
      </c>
      <c r="M43" s="51">
        <f>RR!M41+RR!N41+RR!O41</f>
        <v>2964</v>
      </c>
      <c r="N43" s="51">
        <f>RR!M41+RR!N41+RR!O41+RR!P41</f>
        <v>3716</v>
      </c>
      <c r="O43" s="51">
        <f>RR!R41</f>
        <v>1303</v>
      </c>
      <c r="P43" s="51">
        <f>RR!R41+RR!S41</f>
        <v>2819</v>
      </c>
      <c r="Q43" s="51">
        <f>RR!R41+RR!S41+RR!T41</f>
        <v>4061</v>
      </c>
      <c r="R43" s="51">
        <f>RR!S41+RR!T41+RR!U41+RR!R41</f>
        <v>5257</v>
      </c>
      <c r="S43" s="51">
        <f>RR!W41</f>
        <v>1362</v>
      </c>
      <c r="T43" s="51">
        <f>RR!X41+RR!W21</f>
        <v>8389</v>
      </c>
      <c r="U43" s="51">
        <f>RR!Y41+RR!X41+RR!W41</f>
        <v>9294</v>
      </c>
      <c r="V43" s="51">
        <f>RR!Z41+RR!Y41+RR!X41+RR!W41</f>
        <v>10074</v>
      </c>
      <c r="W43" s="51">
        <f>RR!AB41</f>
        <v>980</v>
      </c>
      <c r="X43" s="51">
        <f>+RR!AC21+RR!AB21</f>
        <v>1968</v>
      </c>
      <c r="Y43" s="51">
        <f>+RR!AD21+RR!AC21+RR!AB21</f>
        <v>2804</v>
      </c>
      <c r="Z43" s="51">
        <f>+RR!AE21+RR!AD21+RR!AC21+RR!AB21</f>
        <v>3736</v>
      </c>
      <c r="AA43" s="51">
        <f>RR!AG41</f>
        <v>941</v>
      </c>
      <c r="AB43" s="78"/>
    </row>
    <row r="44" spans="2:28" s="2" customFormat="1">
      <c r="B44" s="10" t="s">
        <v>118</v>
      </c>
      <c r="C44" s="51">
        <f>RR!C53</f>
        <v>795</v>
      </c>
      <c r="D44" s="51">
        <f>RR!C53+RR!D53</f>
        <v>948</v>
      </c>
      <c r="E44" s="51">
        <f>RR!C53+RR!D53+RR!E53</f>
        <v>1452</v>
      </c>
      <c r="F44" s="51">
        <f>RR!C53+RR!D53+RR!E53+RR!F53</f>
        <v>704</v>
      </c>
      <c r="G44" s="51">
        <f>RR!H53</f>
        <v>1076</v>
      </c>
      <c r="H44" s="51">
        <f>RR!H53+RR!I53</f>
        <v>-638</v>
      </c>
      <c r="I44" s="51">
        <f>RR!H53+RR!I53+RR!J53</f>
        <v>-1025</v>
      </c>
      <c r="J44" s="51">
        <f>RR!H53+RR!I53+RR!J53+RR!K53</f>
        <v>-2619</v>
      </c>
      <c r="K44" s="51">
        <f>RR!M53</f>
        <v>970</v>
      </c>
      <c r="L44" s="51">
        <f>RR!M53+RR!N53</f>
        <v>690</v>
      </c>
      <c r="M44" s="51">
        <f>RR!M53+RR!N53+RR!O53</f>
        <v>1163</v>
      </c>
      <c r="N44" s="51">
        <f>RR!M53+RR!N53+RR!O53+RR!P53</f>
        <v>1684</v>
      </c>
      <c r="O44" s="51">
        <f>RR!R53</f>
        <v>501</v>
      </c>
      <c r="P44" s="51">
        <f>RR!R53+RR!S53+1</f>
        <v>2273</v>
      </c>
      <c r="Q44" s="51">
        <f>RR!R53+RR!S53+RR!T53</f>
        <v>3826</v>
      </c>
      <c r="R44" s="51">
        <f>RR!S53+RR!T53+RR!U53+RR!R53</f>
        <v>3441</v>
      </c>
      <c r="S44" s="51">
        <f>RR!W53</f>
        <v>339</v>
      </c>
      <c r="T44" s="51">
        <f>RR!X53+RR!W53-1</f>
        <v>1581</v>
      </c>
      <c r="U44" s="51">
        <f>RR!Y53+RR!X53+RR!W53</f>
        <v>1213</v>
      </c>
      <c r="V44" s="51">
        <f>RR!Z53+RR!Y53+RR!X53+RR!W53</f>
        <v>-656</v>
      </c>
      <c r="W44" s="51">
        <f>RR!AB53</f>
        <v>1412</v>
      </c>
      <c r="X44" s="51">
        <f>RR!AB53+RR!AC53</f>
        <v>1123</v>
      </c>
      <c r="Y44" s="51">
        <f>RR!AC53+RR!AD53+RR!AB53</f>
        <v>197</v>
      </c>
      <c r="Z44" s="51">
        <f>RR!AD53+RR!AE53+RR!AC53+RR!AB53</f>
        <v>1676</v>
      </c>
      <c r="AA44" s="51">
        <f>RR!AG53</f>
        <v>-2633</v>
      </c>
      <c r="AB44" s="78"/>
    </row>
    <row r="45" spans="2:28" s="2" customFormat="1">
      <c r="B45" s="10" t="s">
        <v>233</v>
      </c>
      <c r="C45" s="40">
        <v>0</v>
      </c>
      <c r="D45" s="40">
        <v>0</v>
      </c>
      <c r="E45" s="40">
        <v>0</v>
      </c>
      <c r="F45" s="40">
        <v>0</v>
      </c>
      <c r="G45" s="40">
        <v>0</v>
      </c>
      <c r="H45" s="40">
        <v>0</v>
      </c>
      <c r="I45" s="40">
        <v>0</v>
      </c>
      <c r="J45" s="40">
        <v>0</v>
      </c>
      <c r="K45" s="40">
        <v>0</v>
      </c>
      <c r="L45" s="40">
        <v>0</v>
      </c>
      <c r="M45" s="40">
        <v>0</v>
      </c>
      <c r="N45" s="40">
        <v>0</v>
      </c>
      <c r="O45" s="51">
        <v>-80</v>
      </c>
      <c r="P45" s="51">
        <v>-1486</v>
      </c>
      <c r="Q45" s="51">
        <v>-2695</v>
      </c>
      <c r="R45" s="51">
        <v>-3079</v>
      </c>
      <c r="S45" s="51">
        <v>-654</v>
      </c>
      <c r="T45" s="51">
        <v>-1611</v>
      </c>
      <c r="U45" s="51">
        <v>-2802</v>
      </c>
      <c r="V45" s="51">
        <v>-3880</v>
      </c>
      <c r="W45" s="51">
        <v>-1085</v>
      </c>
      <c r="X45" s="134">
        <v>-2022</v>
      </c>
      <c r="Y45" s="51">
        <v>-2778</v>
      </c>
      <c r="Z45" s="51">
        <v>-4127</v>
      </c>
      <c r="AA45" s="51">
        <v>-1019</v>
      </c>
      <c r="AB45" s="78"/>
    </row>
    <row r="46" spans="2:28" s="2" customFormat="1">
      <c r="B46" s="10" t="s">
        <v>248</v>
      </c>
      <c r="C46" s="40">
        <v>0</v>
      </c>
      <c r="D46" s="40">
        <v>0</v>
      </c>
      <c r="E46" s="40">
        <v>0</v>
      </c>
      <c r="F46" s="40">
        <v>0</v>
      </c>
      <c r="G46" s="40">
        <v>0</v>
      </c>
      <c r="H46" s="40">
        <v>0</v>
      </c>
      <c r="I46" s="40">
        <v>0</v>
      </c>
      <c r="J46" s="40">
        <v>0</v>
      </c>
      <c r="K46" s="40">
        <v>0</v>
      </c>
      <c r="L46" s="40">
        <v>0</v>
      </c>
      <c r="M46" s="40">
        <v>0</v>
      </c>
      <c r="N46" s="40">
        <v>0</v>
      </c>
      <c r="O46" s="40">
        <v>0</v>
      </c>
      <c r="P46" s="40">
        <v>0</v>
      </c>
      <c r="Q46" s="40">
        <v>0</v>
      </c>
      <c r="R46" s="40">
        <v>0</v>
      </c>
      <c r="S46" s="40">
        <v>0</v>
      </c>
      <c r="T46" s="40">
        <v>0</v>
      </c>
      <c r="U46" s="40">
        <v>0</v>
      </c>
      <c r="V46" s="40">
        <v>0</v>
      </c>
      <c r="W46" s="40">
        <v>0</v>
      </c>
      <c r="X46" s="40">
        <v>0</v>
      </c>
      <c r="Y46" s="40">
        <v>0</v>
      </c>
      <c r="Z46" s="40">
        <v>0</v>
      </c>
      <c r="AA46" s="40">
        <v>0</v>
      </c>
      <c r="AB46" s="78"/>
    </row>
    <row r="47" spans="2:28" s="2" customFormat="1">
      <c r="B47" s="117" t="s">
        <v>249</v>
      </c>
      <c r="C47" s="40">
        <v>0</v>
      </c>
      <c r="D47" s="40">
        <v>0</v>
      </c>
      <c r="E47" s="40">
        <v>0</v>
      </c>
      <c r="F47" s="40">
        <v>0</v>
      </c>
      <c r="G47" s="40">
        <v>0</v>
      </c>
      <c r="H47" s="40">
        <v>0</v>
      </c>
      <c r="I47" s="40">
        <v>0</v>
      </c>
      <c r="J47" s="40">
        <v>0</v>
      </c>
      <c r="K47" s="40">
        <v>0</v>
      </c>
      <c r="L47" s="40">
        <v>0</v>
      </c>
      <c r="M47" s="40">
        <v>0</v>
      </c>
      <c r="N47" s="40">
        <v>0</v>
      </c>
      <c r="O47" s="40">
        <v>0</v>
      </c>
      <c r="P47" s="40">
        <v>0</v>
      </c>
      <c r="Q47" s="40">
        <v>0</v>
      </c>
      <c r="R47" s="40">
        <v>0</v>
      </c>
      <c r="S47" s="40">
        <v>0</v>
      </c>
      <c r="T47" s="40">
        <v>0</v>
      </c>
      <c r="U47" s="40">
        <v>0</v>
      </c>
      <c r="V47" s="40">
        <v>0</v>
      </c>
      <c r="W47" s="40">
        <v>0</v>
      </c>
      <c r="X47" s="40">
        <v>0</v>
      </c>
      <c r="Y47" s="40">
        <v>0</v>
      </c>
      <c r="Z47" s="40">
        <v>0</v>
      </c>
      <c r="AA47" s="40">
        <v>0</v>
      </c>
      <c r="AB47" s="78"/>
    </row>
    <row r="48" spans="2:28" s="2" customFormat="1">
      <c r="B48" s="10" t="s">
        <v>300</v>
      </c>
      <c r="C48" s="51">
        <v>-1288</v>
      </c>
      <c r="D48" s="51">
        <v>-1288</v>
      </c>
      <c r="E48" s="51">
        <v>-1288</v>
      </c>
      <c r="F48" s="51">
        <v>-1288</v>
      </c>
      <c r="G48" s="40">
        <v>0</v>
      </c>
      <c r="H48" s="40">
        <v>0</v>
      </c>
      <c r="I48" s="40">
        <v>0</v>
      </c>
      <c r="J48" s="40">
        <v>0</v>
      </c>
      <c r="K48" s="40">
        <v>0</v>
      </c>
      <c r="L48" s="51">
        <v>-1355</v>
      </c>
      <c r="M48" s="51">
        <v>-1355</v>
      </c>
      <c r="N48" s="51">
        <v>-1355</v>
      </c>
      <c r="O48" s="40">
        <v>0</v>
      </c>
      <c r="P48" s="51">
        <v>-1481</v>
      </c>
      <c r="Q48" s="51">
        <v>-1481</v>
      </c>
      <c r="R48" s="51">
        <v>-1481</v>
      </c>
      <c r="S48" s="40">
        <v>0</v>
      </c>
      <c r="T48" s="51">
        <v>-1524</v>
      </c>
      <c r="U48" s="51">
        <v>-1524</v>
      </c>
      <c r="V48" s="51">
        <v>-1524</v>
      </c>
      <c r="W48" s="40">
        <v>0</v>
      </c>
      <c r="X48" s="51">
        <v>-1617</v>
      </c>
      <c r="Y48" s="51">
        <v>-1617</v>
      </c>
      <c r="Z48" s="51">
        <v>-1617</v>
      </c>
      <c r="AA48" s="40">
        <v>0</v>
      </c>
      <c r="AB48" s="78"/>
    </row>
    <row r="49" spans="2:28" s="2" customFormat="1">
      <c r="B49" s="10" t="s">
        <v>271</v>
      </c>
      <c r="C49" s="40">
        <v>0</v>
      </c>
      <c r="D49" s="40">
        <v>0</v>
      </c>
      <c r="E49" s="40">
        <v>0</v>
      </c>
      <c r="F49" s="40">
        <v>0</v>
      </c>
      <c r="G49" s="40">
        <v>0</v>
      </c>
      <c r="H49" s="40">
        <v>0</v>
      </c>
      <c r="I49" s="40">
        <v>0</v>
      </c>
      <c r="J49" s="40">
        <v>0</v>
      </c>
      <c r="K49" s="40">
        <v>0</v>
      </c>
      <c r="L49" s="40">
        <v>0</v>
      </c>
      <c r="M49" s="40">
        <v>0</v>
      </c>
      <c r="N49" s="40">
        <v>0</v>
      </c>
      <c r="O49" s="40">
        <v>0</v>
      </c>
      <c r="P49" s="40">
        <v>0</v>
      </c>
      <c r="Q49" s="40">
        <v>0</v>
      </c>
      <c r="R49" s="40">
        <v>0</v>
      </c>
      <c r="S49" s="40">
        <v>0</v>
      </c>
      <c r="T49" s="40">
        <v>0</v>
      </c>
      <c r="U49" s="40">
        <v>0</v>
      </c>
      <c r="V49" s="40">
        <v>0</v>
      </c>
      <c r="W49" s="40">
        <v>0</v>
      </c>
      <c r="X49" s="40">
        <v>0</v>
      </c>
      <c r="Y49" s="51">
        <v>1</v>
      </c>
      <c r="Z49" s="51">
        <v>2</v>
      </c>
      <c r="AA49" s="40">
        <v>1</v>
      </c>
      <c r="AB49" s="78"/>
    </row>
    <row r="50" spans="2:28" s="2" customFormat="1">
      <c r="B50" s="10" t="s">
        <v>237</v>
      </c>
      <c r="C50" s="40">
        <v>0</v>
      </c>
      <c r="D50" s="40">
        <v>0</v>
      </c>
      <c r="E50" s="40">
        <v>0</v>
      </c>
      <c r="F50" s="40">
        <v>0</v>
      </c>
      <c r="G50" s="40">
        <v>0</v>
      </c>
      <c r="H50" s="40">
        <v>0</v>
      </c>
      <c r="I50" s="40">
        <v>0</v>
      </c>
      <c r="J50" s="40">
        <v>0</v>
      </c>
      <c r="K50" s="40">
        <v>0</v>
      </c>
      <c r="L50" s="40">
        <v>0</v>
      </c>
      <c r="M50" s="40">
        <v>0</v>
      </c>
      <c r="N50" s="40">
        <v>0</v>
      </c>
      <c r="O50" s="40">
        <v>0</v>
      </c>
      <c r="P50" s="51">
        <v>236</v>
      </c>
      <c r="Q50" s="51">
        <v>243</v>
      </c>
      <c r="R50" s="51">
        <v>352</v>
      </c>
      <c r="S50" s="51">
        <v>44</v>
      </c>
      <c r="T50" s="51">
        <v>71</v>
      </c>
      <c r="U50" s="51">
        <v>174</v>
      </c>
      <c r="V50" s="51">
        <v>225</v>
      </c>
      <c r="W50" s="51">
        <v>38</v>
      </c>
      <c r="X50" s="134">
        <v>79</v>
      </c>
      <c r="Y50" s="51">
        <v>106</v>
      </c>
      <c r="Z50" s="51">
        <v>172</v>
      </c>
      <c r="AA50" s="51">
        <v>45</v>
      </c>
      <c r="AB50" s="78"/>
    </row>
    <row r="51" spans="2:28" s="2" customFormat="1">
      <c r="B51" s="10" t="s">
        <v>187</v>
      </c>
      <c r="C51" s="40">
        <v>0</v>
      </c>
      <c r="D51" s="40">
        <v>0</v>
      </c>
      <c r="E51" s="40">
        <v>0</v>
      </c>
      <c r="F51" s="51">
        <v>10</v>
      </c>
      <c r="G51" s="40">
        <v>0</v>
      </c>
      <c r="H51" s="40">
        <v>0</v>
      </c>
      <c r="I51" s="40">
        <v>0</v>
      </c>
      <c r="J51" s="40">
        <v>0</v>
      </c>
      <c r="K51" s="40">
        <v>0</v>
      </c>
      <c r="L51" s="40">
        <v>0</v>
      </c>
      <c r="M51" s="40">
        <v>0</v>
      </c>
      <c r="N51" s="40">
        <v>0</v>
      </c>
      <c r="O51" s="40">
        <v>0</v>
      </c>
      <c r="P51" s="40">
        <v>0</v>
      </c>
      <c r="Q51" s="40">
        <v>0</v>
      </c>
      <c r="R51" s="40">
        <v>0</v>
      </c>
      <c r="S51" s="40">
        <v>0</v>
      </c>
      <c r="T51" s="40">
        <v>0</v>
      </c>
      <c r="U51" s="40">
        <v>0</v>
      </c>
      <c r="V51" s="40">
        <v>0</v>
      </c>
      <c r="W51" s="40">
        <v>0</v>
      </c>
      <c r="X51" s="40">
        <v>0</v>
      </c>
      <c r="Y51" s="40">
        <v>0</v>
      </c>
      <c r="Z51" s="40">
        <v>0</v>
      </c>
      <c r="AA51" s="40">
        <v>0</v>
      </c>
      <c r="AB51" s="78"/>
    </row>
    <row r="52" spans="2:28" s="2" customFormat="1" ht="15.75" customHeight="1">
      <c r="B52" s="14" t="s">
        <v>105</v>
      </c>
      <c r="C52" s="24">
        <f t="shared" ref="C52:P52" si="37">SUM(C41:C51)</f>
        <v>29988</v>
      </c>
      <c r="D52" s="24">
        <f t="shared" si="37"/>
        <v>30946</v>
      </c>
      <c r="E52" s="24">
        <f t="shared" si="37"/>
        <v>32116</v>
      </c>
      <c r="F52" s="24">
        <f t="shared" si="37"/>
        <v>28861</v>
      </c>
      <c r="G52" s="24">
        <f t="shared" si="37"/>
        <v>30764</v>
      </c>
      <c r="H52" s="24">
        <f t="shared" si="37"/>
        <v>29622</v>
      </c>
      <c r="I52" s="24">
        <f t="shared" si="37"/>
        <v>29887</v>
      </c>
      <c r="J52" s="24">
        <f t="shared" si="37"/>
        <v>28953</v>
      </c>
      <c r="K52" s="24">
        <f t="shared" si="37"/>
        <v>31027</v>
      </c>
      <c r="L52" s="24">
        <f t="shared" si="37"/>
        <v>30380</v>
      </c>
      <c r="M52" s="24">
        <f t="shared" si="37"/>
        <v>31725</v>
      </c>
      <c r="N52" s="24">
        <f t="shared" si="37"/>
        <v>32998</v>
      </c>
      <c r="O52" s="24">
        <f t="shared" si="37"/>
        <v>34722</v>
      </c>
      <c r="P52" s="24">
        <f t="shared" si="37"/>
        <v>35359</v>
      </c>
      <c r="Q52" s="24">
        <f t="shared" ref="Q52:R52" si="38">SUM(Q41:Q51)</f>
        <v>36952</v>
      </c>
      <c r="R52" s="24">
        <f t="shared" si="38"/>
        <v>37488</v>
      </c>
      <c r="S52" s="24">
        <f t="shared" ref="S52:T52" si="39">SUM(S41:S51)</f>
        <v>38579</v>
      </c>
      <c r="T52" s="24">
        <f t="shared" si="39"/>
        <v>44394</v>
      </c>
      <c r="U52" s="24">
        <f t="shared" ref="U52:W52" si="40">SUM(U41:U51)</f>
        <v>43843</v>
      </c>
      <c r="V52" s="24">
        <f t="shared" si="40"/>
        <v>41727</v>
      </c>
      <c r="W52" s="24">
        <f t="shared" si="40"/>
        <v>43072</v>
      </c>
      <c r="X52" s="24">
        <f>SUM(X41:X51)</f>
        <v>41258</v>
      </c>
      <c r="Y52" s="24">
        <f>SUM(Y41:Y51)</f>
        <v>40440</v>
      </c>
      <c r="Z52" s="24">
        <f>SUM(Z41:Z51)</f>
        <v>41569</v>
      </c>
      <c r="AA52" s="24">
        <f t="shared" ref="AA52" si="41">SUM(AA41:AA51)</f>
        <v>38904</v>
      </c>
      <c r="AB52" s="78"/>
    </row>
    <row r="53" spans="2:28" s="2" customFormat="1">
      <c r="B53" s="142" t="s">
        <v>301</v>
      </c>
      <c r="C53" s="78"/>
      <c r="D53" s="78"/>
      <c r="E53" s="78"/>
      <c r="F53" s="78"/>
      <c r="G53" s="78"/>
      <c r="H53" s="78"/>
      <c r="I53" s="78"/>
      <c r="J53" s="78"/>
      <c r="K53" s="78"/>
      <c r="AB53" s="78"/>
    </row>
    <row r="54" spans="2:28" s="2" customFormat="1">
      <c r="B54" s="71"/>
      <c r="C54" s="78"/>
      <c r="D54" s="78"/>
      <c r="E54" s="78"/>
      <c r="F54" s="78"/>
      <c r="G54" s="78"/>
      <c r="H54" s="78"/>
      <c r="I54" s="78"/>
      <c r="J54" s="78"/>
      <c r="K54" s="78"/>
      <c r="AB54" s="78"/>
    </row>
    <row r="55" spans="2:28" s="2" customFormat="1">
      <c r="B55" s="82"/>
      <c r="O55" s="82"/>
      <c r="P55" s="82"/>
      <c r="AB55" s="78"/>
    </row>
    <row r="56" spans="2:28" s="2" customFormat="1">
      <c r="B56" s="31" t="s">
        <v>90</v>
      </c>
      <c r="C56" s="32" t="s">
        <v>64</v>
      </c>
      <c r="D56" s="32" t="s">
        <v>63</v>
      </c>
      <c r="E56" s="32" t="s">
        <v>62</v>
      </c>
      <c r="F56" s="32" t="s">
        <v>61</v>
      </c>
      <c r="G56" s="32" t="s">
        <v>64</v>
      </c>
      <c r="H56" s="32" t="s">
        <v>63</v>
      </c>
      <c r="I56" s="32" t="s">
        <v>62</v>
      </c>
      <c r="J56" s="32" t="s">
        <v>61</v>
      </c>
      <c r="K56" s="32" t="s">
        <v>64</v>
      </c>
      <c r="L56" s="32" t="s">
        <v>63</v>
      </c>
      <c r="M56" s="32" t="s">
        <v>62</v>
      </c>
      <c r="N56" s="32" t="s">
        <v>61</v>
      </c>
      <c r="O56" s="32" t="s">
        <v>64</v>
      </c>
      <c r="P56" s="32" t="s">
        <v>63</v>
      </c>
      <c r="Q56" s="32" t="s">
        <v>62</v>
      </c>
      <c r="R56" s="32" t="s">
        <v>61</v>
      </c>
      <c r="S56" s="32" t="s">
        <v>64</v>
      </c>
      <c r="T56" s="32" t="s">
        <v>246</v>
      </c>
      <c r="U56" s="32" t="s">
        <v>255</v>
      </c>
      <c r="V56" s="32" t="s">
        <v>61</v>
      </c>
      <c r="W56" s="32" t="s">
        <v>64</v>
      </c>
      <c r="X56" s="32" t="str">
        <f>+X39</f>
        <v>30 jun</v>
      </c>
      <c r="Y56" s="32" t="str">
        <f>+Y39</f>
        <v>30 sep</v>
      </c>
      <c r="Z56" s="32" t="str">
        <f>+Z39</f>
        <v>31 dec</v>
      </c>
      <c r="AA56" s="32" t="s">
        <v>64</v>
      </c>
      <c r="AB56" s="78"/>
    </row>
    <row r="57" spans="2:28" s="2" customFormat="1">
      <c r="B57" s="33"/>
      <c r="C57" s="34">
        <v>2019</v>
      </c>
      <c r="D57" s="34">
        <v>2019</v>
      </c>
      <c r="E57" s="34">
        <v>2019</v>
      </c>
      <c r="F57" s="34">
        <v>2019</v>
      </c>
      <c r="G57" s="33">
        <v>2020</v>
      </c>
      <c r="H57" s="34">
        <v>2020</v>
      </c>
      <c r="I57" s="33">
        <v>2020</v>
      </c>
      <c r="J57" s="33">
        <v>2020</v>
      </c>
      <c r="K57" s="33">
        <v>2021</v>
      </c>
      <c r="L57" s="33">
        <v>2021</v>
      </c>
      <c r="M57" s="33">
        <v>2021</v>
      </c>
      <c r="N57" s="33">
        <v>2021</v>
      </c>
      <c r="O57" s="33">
        <v>2022</v>
      </c>
      <c r="P57" s="33">
        <v>2022</v>
      </c>
      <c r="Q57" s="33">
        <v>2022</v>
      </c>
      <c r="R57" s="33">
        <v>2022</v>
      </c>
      <c r="S57" s="33">
        <v>2023</v>
      </c>
      <c r="T57" s="33">
        <v>2023</v>
      </c>
      <c r="U57" s="33">
        <v>2023</v>
      </c>
      <c r="V57" s="33">
        <v>2023</v>
      </c>
      <c r="W57" s="33">
        <v>2024</v>
      </c>
      <c r="X57" s="33">
        <v>2024</v>
      </c>
      <c r="Y57" s="33">
        <v>2024</v>
      </c>
      <c r="Z57" s="33">
        <v>2024</v>
      </c>
      <c r="AA57" s="33">
        <f>+AA40</f>
        <v>2025</v>
      </c>
      <c r="AB57" s="78"/>
    </row>
    <row r="58" spans="2:28" s="2" customFormat="1">
      <c r="B58" s="10" t="s">
        <v>77</v>
      </c>
      <c r="C58" s="51">
        <f t="shared" ref="C58:P58" si="42">C23</f>
        <v>29988</v>
      </c>
      <c r="D58" s="51">
        <f t="shared" si="42"/>
        <v>30946</v>
      </c>
      <c r="E58" s="51">
        <f t="shared" si="42"/>
        <v>32116</v>
      </c>
      <c r="F58" s="51">
        <f t="shared" si="42"/>
        <v>28861</v>
      </c>
      <c r="G58" s="51">
        <f t="shared" si="42"/>
        <v>30764</v>
      </c>
      <c r="H58" s="51">
        <f t="shared" si="42"/>
        <v>29622</v>
      </c>
      <c r="I58" s="51">
        <f t="shared" si="42"/>
        <v>29887</v>
      </c>
      <c r="J58" s="51">
        <f t="shared" si="42"/>
        <v>28953</v>
      </c>
      <c r="K58" s="51">
        <f t="shared" si="42"/>
        <v>31027</v>
      </c>
      <c r="L58" s="51">
        <f t="shared" si="42"/>
        <v>30380</v>
      </c>
      <c r="M58" s="51">
        <f t="shared" si="42"/>
        <v>31725</v>
      </c>
      <c r="N58" s="51">
        <f t="shared" si="42"/>
        <v>32998</v>
      </c>
      <c r="O58" s="51">
        <f t="shared" si="42"/>
        <v>34722</v>
      </c>
      <c r="P58" s="51">
        <f t="shared" si="42"/>
        <v>35359</v>
      </c>
      <c r="Q58" s="51">
        <f t="shared" ref="Q58:R58" si="43">Q23</f>
        <v>36952</v>
      </c>
      <c r="R58" s="51">
        <f t="shared" si="43"/>
        <v>37488</v>
      </c>
      <c r="S58" s="51">
        <f t="shared" ref="S58:T58" si="44">S23</f>
        <v>38579</v>
      </c>
      <c r="T58" s="51">
        <f t="shared" si="44"/>
        <v>44394</v>
      </c>
      <c r="U58" s="51">
        <f t="shared" ref="U58:W58" si="45">U23</f>
        <v>43843</v>
      </c>
      <c r="V58" s="51">
        <f t="shared" si="45"/>
        <v>41727</v>
      </c>
      <c r="W58" s="51">
        <f t="shared" si="45"/>
        <v>43072</v>
      </c>
      <c r="X58" s="51">
        <f t="shared" ref="X58" si="46">X23</f>
        <v>41258</v>
      </c>
      <c r="Y58" s="51">
        <f>Y23</f>
        <v>40440</v>
      </c>
      <c r="Z58" s="51">
        <f>Z23</f>
        <v>41569</v>
      </c>
      <c r="AA58" s="51">
        <f t="shared" ref="AA58" si="47">AA23</f>
        <v>38904</v>
      </c>
      <c r="AB58" s="78"/>
    </row>
    <row r="59" spans="2:28" s="2" customFormat="1">
      <c r="B59" s="10" t="s">
        <v>265</v>
      </c>
      <c r="C59" s="51">
        <f t="shared" ref="C59:P59" si="48">C20</f>
        <v>57803</v>
      </c>
      <c r="D59" s="51">
        <f t="shared" si="48"/>
        <v>58347</v>
      </c>
      <c r="E59" s="51">
        <f t="shared" si="48"/>
        <v>60486</v>
      </c>
      <c r="F59" s="51">
        <f t="shared" si="48"/>
        <v>56171</v>
      </c>
      <c r="G59" s="51">
        <f t="shared" si="48"/>
        <v>60722</v>
      </c>
      <c r="H59" s="51">
        <f t="shared" si="48"/>
        <v>58835</v>
      </c>
      <c r="I59" s="51">
        <f t="shared" si="48"/>
        <v>59097</v>
      </c>
      <c r="J59" s="51">
        <f t="shared" si="48"/>
        <v>53764</v>
      </c>
      <c r="K59" s="51">
        <f t="shared" si="48"/>
        <v>55600</v>
      </c>
      <c r="L59" s="51">
        <f t="shared" si="48"/>
        <v>53446</v>
      </c>
      <c r="M59" s="51">
        <f t="shared" si="48"/>
        <v>55148</v>
      </c>
      <c r="N59" s="51">
        <f t="shared" si="48"/>
        <v>55640</v>
      </c>
      <c r="O59" s="51">
        <f t="shared" si="48"/>
        <v>57237</v>
      </c>
      <c r="P59" s="51">
        <f t="shared" si="48"/>
        <v>61976</v>
      </c>
      <c r="Q59" s="51">
        <f t="shared" ref="Q59:R59" si="49">Q20</f>
        <v>65583</v>
      </c>
      <c r="R59" s="51">
        <f t="shared" si="49"/>
        <v>77066</v>
      </c>
      <c r="S59" s="51">
        <f t="shared" ref="S59:T59" si="50">S20</f>
        <v>77652</v>
      </c>
      <c r="T59" s="51">
        <f t="shared" si="50"/>
        <v>64818</v>
      </c>
      <c r="U59" s="51">
        <f t="shared" ref="U59:W59" si="51">U20</f>
        <v>63137</v>
      </c>
      <c r="V59" s="51">
        <f t="shared" si="51"/>
        <v>59503</v>
      </c>
      <c r="W59" s="51">
        <f t="shared" si="51"/>
        <v>59759</v>
      </c>
      <c r="X59" s="51">
        <f t="shared" ref="X59" si="52">X20</f>
        <v>58656</v>
      </c>
      <c r="Y59" s="51">
        <f>Y20</f>
        <v>58839</v>
      </c>
      <c r="Z59" s="51">
        <f>Z20</f>
        <v>60508</v>
      </c>
      <c r="AA59" s="51">
        <f t="shared" ref="AA59" si="53">AA20</f>
        <v>57865</v>
      </c>
      <c r="AB59" s="78"/>
    </row>
    <row r="60" spans="2:28" s="2" customFormat="1">
      <c r="B60" s="14" t="s">
        <v>21</v>
      </c>
      <c r="C60" s="44">
        <f t="shared" ref="C60:P60" si="54">C58/C59</f>
        <v>0.51879660225247826</v>
      </c>
      <c r="D60" s="44">
        <f t="shared" si="54"/>
        <v>0.53037859701441381</v>
      </c>
      <c r="E60" s="44">
        <f t="shared" si="54"/>
        <v>0.53096584333564789</v>
      </c>
      <c r="F60" s="44">
        <f t="shared" si="54"/>
        <v>0.51380605650602629</v>
      </c>
      <c r="G60" s="44">
        <f t="shared" si="54"/>
        <v>0.50663680379434139</v>
      </c>
      <c r="H60" s="44">
        <f t="shared" si="54"/>
        <v>0.50347582221466813</v>
      </c>
      <c r="I60" s="44">
        <f t="shared" si="54"/>
        <v>0.50572787112713002</v>
      </c>
      <c r="J60" s="44">
        <f t="shared" si="54"/>
        <v>0.53852019938992635</v>
      </c>
      <c r="K60" s="44">
        <f t="shared" si="54"/>
        <v>0.55803956834532376</v>
      </c>
      <c r="L60" s="44">
        <f t="shared" si="54"/>
        <v>0.56842420386932602</v>
      </c>
      <c r="M60" s="44">
        <f t="shared" si="54"/>
        <v>0.57527018205555958</v>
      </c>
      <c r="N60" s="44">
        <f t="shared" si="54"/>
        <v>0.59306254493170385</v>
      </c>
      <c r="O60" s="44">
        <f t="shared" si="54"/>
        <v>0.60663556790188167</v>
      </c>
      <c r="P60" s="44">
        <f t="shared" si="54"/>
        <v>0.57052730089066739</v>
      </c>
      <c r="Q60" s="44">
        <f t="shared" ref="Q60:R60" si="55">Q58/Q59</f>
        <v>0.56343869600353746</v>
      </c>
      <c r="R60" s="44">
        <f t="shared" si="55"/>
        <v>0.48644019411932632</v>
      </c>
      <c r="S60" s="44">
        <f t="shared" ref="S60:T60" si="56">S58/S59</f>
        <v>0.49681914181218773</v>
      </c>
      <c r="T60" s="123">
        <f t="shared" si="56"/>
        <v>0.68490234194205313</v>
      </c>
      <c r="U60" s="123">
        <f t="shared" ref="U60:W60" si="57">U58/U59</f>
        <v>0.69441056749607999</v>
      </c>
      <c r="V60" s="105">
        <f t="shared" si="57"/>
        <v>0.70125876006251786</v>
      </c>
      <c r="W60" s="44">
        <f t="shared" si="57"/>
        <v>0.72076172626717316</v>
      </c>
      <c r="X60" s="44">
        <f t="shared" ref="X60:Y60" si="58">X58/X59</f>
        <v>0.7033892525913803</v>
      </c>
      <c r="Y60" s="44">
        <f t="shared" si="58"/>
        <v>0.68729924029980116</v>
      </c>
      <c r="Z60" s="44">
        <f t="shared" ref="Z60:AA60" si="59">Z58/Z59</f>
        <v>0.68700006610696107</v>
      </c>
      <c r="AA60" s="44">
        <f t="shared" si="59"/>
        <v>0.67232351162187853</v>
      </c>
      <c r="AB60" s="78"/>
    </row>
    <row r="61" spans="2:28" s="2" customFormat="1">
      <c r="AB61" s="78"/>
    </row>
    <row r="62" spans="2:28" s="2" customFormat="1">
      <c r="C62" s="9"/>
      <c r="D62" s="9"/>
      <c r="E62" s="9"/>
      <c r="F62" s="9"/>
      <c r="G62" s="9"/>
      <c r="H62" s="9"/>
      <c r="I62" s="9"/>
      <c r="J62" s="9"/>
      <c r="K62" s="9"/>
      <c r="AB62" s="78"/>
    </row>
    <row r="63" spans="2:28" s="2" customFormat="1">
      <c r="B63" s="31" t="s">
        <v>91</v>
      </c>
      <c r="C63" s="32" t="s">
        <v>64</v>
      </c>
      <c r="D63" s="32" t="s">
        <v>63</v>
      </c>
      <c r="E63" s="32" t="s">
        <v>62</v>
      </c>
      <c r="F63" s="32" t="s">
        <v>61</v>
      </c>
      <c r="G63" s="32" t="s">
        <v>64</v>
      </c>
      <c r="H63" s="32" t="s">
        <v>63</v>
      </c>
      <c r="I63" s="32" t="s">
        <v>62</v>
      </c>
      <c r="J63" s="32" t="s">
        <v>61</v>
      </c>
      <c r="K63" s="32" t="s">
        <v>64</v>
      </c>
      <c r="L63" s="32" t="s">
        <v>63</v>
      </c>
      <c r="M63" s="32" t="s">
        <v>62</v>
      </c>
      <c r="N63" s="32" t="s">
        <v>61</v>
      </c>
      <c r="O63" s="32" t="s">
        <v>64</v>
      </c>
      <c r="P63" s="32" t="s">
        <v>63</v>
      </c>
      <c r="Q63" s="32" t="s">
        <v>62</v>
      </c>
      <c r="R63" s="32" t="s">
        <v>61</v>
      </c>
      <c r="S63" s="32" t="s">
        <v>64</v>
      </c>
      <c r="T63" s="32" t="s">
        <v>246</v>
      </c>
      <c r="U63" s="32" t="s">
        <v>255</v>
      </c>
      <c r="V63" s="32" t="s">
        <v>61</v>
      </c>
      <c r="W63" s="32" t="s">
        <v>64</v>
      </c>
      <c r="X63" s="32" t="str">
        <f>+X56</f>
        <v>30 jun</v>
      </c>
      <c r="Y63" s="32" t="str">
        <f>+Y56</f>
        <v>30 sep</v>
      </c>
      <c r="Z63" s="32" t="str">
        <f>+Z56</f>
        <v>31 dec</v>
      </c>
      <c r="AA63" s="32" t="s">
        <v>64</v>
      </c>
      <c r="AB63" s="78"/>
    </row>
    <row r="64" spans="2:28" s="2" customFormat="1">
      <c r="B64" s="33"/>
      <c r="C64" s="34">
        <v>2019</v>
      </c>
      <c r="D64" s="34">
        <v>2019</v>
      </c>
      <c r="E64" s="34">
        <v>2019</v>
      </c>
      <c r="F64" s="34">
        <v>2019</v>
      </c>
      <c r="G64" s="34">
        <v>2020</v>
      </c>
      <c r="H64" s="34">
        <v>2020</v>
      </c>
      <c r="I64" s="33">
        <v>2020</v>
      </c>
      <c r="J64" s="33">
        <v>2020</v>
      </c>
      <c r="K64" s="33">
        <v>2021</v>
      </c>
      <c r="L64" s="33">
        <v>2021</v>
      </c>
      <c r="M64" s="33">
        <v>2021</v>
      </c>
      <c r="N64" s="33">
        <v>2021</v>
      </c>
      <c r="O64" s="33">
        <v>2022</v>
      </c>
      <c r="P64" s="33">
        <v>2022</v>
      </c>
      <c r="Q64" s="33">
        <v>2022</v>
      </c>
      <c r="R64" s="33">
        <v>2022</v>
      </c>
      <c r="S64" s="33">
        <v>2023</v>
      </c>
      <c r="T64" s="33">
        <v>2023</v>
      </c>
      <c r="U64" s="33">
        <v>2023</v>
      </c>
      <c r="V64" s="33">
        <v>2023</v>
      </c>
      <c r="W64" s="33">
        <v>2024</v>
      </c>
      <c r="X64" s="33">
        <v>2024</v>
      </c>
      <c r="Y64" s="33">
        <v>2024</v>
      </c>
      <c r="Z64" s="33">
        <v>2024</v>
      </c>
      <c r="AA64" s="33">
        <f>+AA40</f>
        <v>2025</v>
      </c>
      <c r="AB64" s="78"/>
    </row>
    <row r="65" spans="2:28" s="2" customFormat="1">
      <c r="B65" s="10" t="s">
        <v>229</v>
      </c>
      <c r="C65" s="51">
        <v>4142</v>
      </c>
      <c r="D65" s="51">
        <v>4309</v>
      </c>
      <c r="E65" s="51">
        <v>4219</v>
      </c>
      <c r="F65" s="51">
        <v>3643</v>
      </c>
      <c r="G65" s="51">
        <v>4274</v>
      </c>
      <c r="H65" s="51">
        <v>3773</v>
      </c>
      <c r="I65" s="51">
        <v>3515</v>
      </c>
      <c r="J65" s="51">
        <v>2907</v>
      </c>
      <c r="K65" s="51">
        <v>3787</v>
      </c>
      <c r="L65" s="51">
        <v>3847</v>
      </c>
      <c r="M65" s="51">
        <v>3745</v>
      </c>
      <c r="N65" s="51">
        <v>3610</v>
      </c>
      <c r="O65" s="51">
        <v>4536</v>
      </c>
      <c r="P65" s="51">
        <v>5325</v>
      </c>
      <c r="Q65" s="51">
        <v>5835</v>
      </c>
      <c r="R65" s="51">
        <v>5591</v>
      </c>
      <c r="S65" s="51">
        <v>6514</v>
      </c>
      <c r="T65" s="51">
        <v>5594</v>
      </c>
      <c r="U65" s="51">
        <v>5370</v>
      </c>
      <c r="V65" s="51">
        <v>4595</v>
      </c>
      <c r="W65" s="51">
        <v>5616</v>
      </c>
      <c r="X65" s="51">
        <v>5963</v>
      </c>
      <c r="Y65" s="51">
        <v>5829</v>
      </c>
      <c r="Z65" s="51">
        <v>5721</v>
      </c>
      <c r="AA65" s="51">
        <v>6076</v>
      </c>
      <c r="AB65" s="78"/>
    </row>
    <row r="66" spans="2:28" s="2" customFormat="1">
      <c r="B66" s="10" t="s">
        <v>65</v>
      </c>
      <c r="C66" s="51">
        <v>5813</v>
      </c>
      <c r="D66" s="51">
        <v>5882</v>
      </c>
      <c r="E66" s="51">
        <v>6185</v>
      </c>
      <c r="F66" s="51">
        <v>6057</v>
      </c>
      <c r="G66" s="51">
        <v>6266</v>
      </c>
      <c r="H66" s="51">
        <v>5773</v>
      </c>
      <c r="I66" s="51">
        <v>5631</v>
      </c>
      <c r="J66" s="51">
        <v>5336</v>
      </c>
      <c r="K66" s="51">
        <v>5508</v>
      </c>
      <c r="L66" s="51">
        <v>5415</v>
      </c>
      <c r="M66" s="51">
        <v>5561</v>
      </c>
      <c r="N66" s="51">
        <v>5934</v>
      </c>
      <c r="O66" s="51">
        <f t="shared" ref="O66:W66" si="60">+O5</f>
        <v>6041</v>
      </c>
      <c r="P66" s="51">
        <f t="shared" si="60"/>
        <v>6445</v>
      </c>
      <c r="Q66" s="51">
        <f t="shared" si="60"/>
        <v>6748</v>
      </c>
      <c r="R66" s="51">
        <f t="shared" si="60"/>
        <v>7589</v>
      </c>
      <c r="S66" s="51">
        <f t="shared" si="60"/>
        <v>7661</v>
      </c>
      <c r="T66" s="51">
        <f t="shared" si="60"/>
        <v>7892</v>
      </c>
      <c r="U66" s="51">
        <f t="shared" si="60"/>
        <v>7897</v>
      </c>
      <c r="V66" s="51">
        <f t="shared" si="60"/>
        <v>7757</v>
      </c>
      <c r="W66" s="51">
        <f t="shared" si="60"/>
        <v>8154</v>
      </c>
      <c r="X66" s="51">
        <f t="shared" ref="X66:Y66" si="61">+X5</f>
        <v>8393</v>
      </c>
      <c r="Y66" s="51">
        <f t="shared" si="61"/>
        <v>8481</v>
      </c>
      <c r="Z66" s="51">
        <f t="shared" ref="Z66:AA66" si="62">+Z5</f>
        <v>9306</v>
      </c>
      <c r="AA66" s="51">
        <f t="shared" si="62"/>
        <v>8719</v>
      </c>
      <c r="AB66" s="78"/>
    </row>
    <row r="67" spans="2:28" s="2" customFormat="1">
      <c r="B67" s="10" t="s">
        <v>230</v>
      </c>
      <c r="C67" s="51">
        <v>1675</v>
      </c>
      <c r="D67" s="51">
        <v>1653</v>
      </c>
      <c r="E67" s="51">
        <v>1693</v>
      </c>
      <c r="F67" s="51">
        <v>1656</v>
      </c>
      <c r="G67" s="51">
        <v>1728</v>
      </c>
      <c r="H67" s="51">
        <v>1589</v>
      </c>
      <c r="I67" s="51">
        <v>1522</v>
      </c>
      <c r="J67" s="51">
        <v>1395</v>
      </c>
      <c r="K67" s="51">
        <v>1439</v>
      </c>
      <c r="L67" s="51">
        <v>1464</v>
      </c>
      <c r="M67" s="51">
        <v>1477</v>
      </c>
      <c r="N67" s="51">
        <v>1445</v>
      </c>
      <c r="O67" s="51">
        <f t="shared" ref="O67:W67" si="63">+O6</f>
        <v>1407</v>
      </c>
      <c r="P67" s="51">
        <f t="shared" si="63"/>
        <v>1420</v>
      </c>
      <c r="Q67" s="51">
        <f t="shared" si="63"/>
        <v>1441</v>
      </c>
      <c r="R67" s="51">
        <f t="shared" si="63"/>
        <v>1507</v>
      </c>
      <c r="S67" s="51">
        <f t="shared" si="63"/>
        <v>1506</v>
      </c>
      <c r="T67" s="51">
        <f t="shared" si="63"/>
        <v>1555</v>
      </c>
      <c r="U67" s="51">
        <f t="shared" si="63"/>
        <v>1659</v>
      </c>
      <c r="V67" s="51">
        <f t="shared" si="63"/>
        <v>1538</v>
      </c>
      <c r="W67" s="51">
        <f t="shared" si="63"/>
        <v>1592</v>
      </c>
      <c r="X67" s="51">
        <f t="shared" ref="X67:Y67" si="64">+X6</f>
        <v>1597</v>
      </c>
      <c r="Y67" s="51">
        <f t="shared" si="64"/>
        <v>1679</v>
      </c>
      <c r="Z67" s="51">
        <f t="shared" ref="Z67:AA67" si="65">+Z6</f>
        <v>1758</v>
      </c>
      <c r="AA67" s="51">
        <f t="shared" si="65"/>
        <v>1617</v>
      </c>
      <c r="AB67" s="78"/>
    </row>
    <row r="68" spans="2:28" s="2" customFormat="1">
      <c r="B68" s="10" t="s">
        <v>231</v>
      </c>
      <c r="C68" s="51">
        <v>14833</v>
      </c>
      <c r="D68" s="51">
        <v>14846</v>
      </c>
      <c r="E68" s="51">
        <v>16369</v>
      </c>
      <c r="F68" s="51">
        <v>16015</v>
      </c>
      <c r="G68" s="51">
        <v>16968</v>
      </c>
      <c r="H68" s="51">
        <v>15855</v>
      </c>
      <c r="I68" s="51">
        <v>15586</v>
      </c>
      <c r="J68" s="51">
        <v>14591</v>
      </c>
      <c r="K68" s="51">
        <v>15223</v>
      </c>
      <c r="L68" s="51">
        <v>14923</v>
      </c>
      <c r="M68" s="51">
        <v>15153</v>
      </c>
      <c r="N68" s="51">
        <v>15558</v>
      </c>
      <c r="O68" s="51">
        <f>+O7+O8+1</f>
        <v>15750</v>
      </c>
      <c r="P68" s="51">
        <f>+P7+P8+1</f>
        <v>17001</v>
      </c>
      <c r="Q68" s="51">
        <f>+Q7+Q8</f>
        <v>17780</v>
      </c>
      <c r="R68" s="51">
        <f>+R7+R8-1</f>
        <v>26561</v>
      </c>
      <c r="S68" s="51">
        <f t="shared" ref="S68:X68" si="66">+S7+S8</f>
        <v>26553</v>
      </c>
      <c r="T68" s="51">
        <f t="shared" si="66"/>
        <v>28011</v>
      </c>
      <c r="U68" s="51">
        <f t="shared" si="66"/>
        <v>27639</v>
      </c>
      <c r="V68" s="51">
        <f t="shared" si="66"/>
        <v>25824</v>
      </c>
      <c r="W68" s="51">
        <f t="shared" si="66"/>
        <v>27265</v>
      </c>
      <c r="X68" s="51">
        <f t="shared" si="66"/>
        <v>27805</v>
      </c>
      <c r="Y68" s="51">
        <f t="shared" ref="Y68:AA68" si="67">+Y7+Y8</f>
        <v>30828</v>
      </c>
      <c r="Z68" s="51">
        <f t="shared" si="67"/>
        <v>32539</v>
      </c>
      <c r="AA68" s="51">
        <f t="shared" si="67"/>
        <v>30334</v>
      </c>
      <c r="AB68" s="78"/>
    </row>
    <row r="69" spans="2:28" s="2" customFormat="1">
      <c r="B69" s="10" t="s">
        <v>232</v>
      </c>
      <c r="C69" s="51">
        <v>20</v>
      </c>
      <c r="D69" s="51">
        <v>96</v>
      </c>
      <c r="E69" s="51">
        <v>21</v>
      </c>
      <c r="F69" s="51">
        <v>33</v>
      </c>
      <c r="G69" s="51">
        <v>35</v>
      </c>
      <c r="H69" s="51">
        <v>11</v>
      </c>
      <c r="I69" s="51">
        <v>10</v>
      </c>
      <c r="J69" s="51">
        <v>10</v>
      </c>
      <c r="K69" s="51">
        <v>18</v>
      </c>
      <c r="L69" s="51">
        <v>10</v>
      </c>
      <c r="M69" s="51">
        <v>9</v>
      </c>
      <c r="N69" s="51">
        <v>10</v>
      </c>
      <c r="O69" s="51">
        <v>52</v>
      </c>
      <c r="P69" s="51">
        <v>56</v>
      </c>
      <c r="Q69" s="51">
        <v>58</v>
      </c>
      <c r="R69" s="51">
        <v>61</v>
      </c>
      <c r="S69" s="51">
        <f t="shared" ref="S69:X69" si="68">+S9</f>
        <v>65</v>
      </c>
      <c r="T69" s="51">
        <f t="shared" si="68"/>
        <v>59</v>
      </c>
      <c r="U69" s="51">
        <f t="shared" si="68"/>
        <v>57</v>
      </c>
      <c r="V69" s="51">
        <f t="shared" si="68"/>
        <v>54</v>
      </c>
      <c r="W69" s="51">
        <f t="shared" si="68"/>
        <v>56</v>
      </c>
      <c r="X69" s="51">
        <f t="shared" si="68"/>
        <v>57</v>
      </c>
      <c r="Y69" s="51">
        <f t="shared" ref="Y69:AA69" si="69">+Y9</f>
        <v>57</v>
      </c>
      <c r="Z69" s="51">
        <f t="shared" si="69"/>
        <v>57</v>
      </c>
      <c r="AA69" s="51">
        <f t="shared" si="69"/>
        <v>57</v>
      </c>
      <c r="AB69" s="78"/>
    </row>
    <row r="70" spans="2:28" s="2" customFormat="1">
      <c r="B70" s="14" t="s">
        <v>169</v>
      </c>
      <c r="C70" s="15">
        <f t="shared" ref="C70:P70" si="70">SUM(C65:C69)</f>
        <v>26483</v>
      </c>
      <c r="D70" s="15">
        <f t="shared" si="70"/>
        <v>26786</v>
      </c>
      <c r="E70" s="15">
        <f t="shared" si="70"/>
        <v>28487</v>
      </c>
      <c r="F70" s="15">
        <f t="shared" si="70"/>
        <v>27404</v>
      </c>
      <c r="G70" s="15">
        <f t="shared" si="70"/>
        <v>29271</v>
      </c>
      <c r="H70" s="15">
        <f t="shared" si="70"/>
        <v>27001</v>
      </c>
      <c r="I70" s="15">
        <f t="shared" si="70"/>
        <v>26264</v>
      </c>
      <c r="J70" s="15">
        <f t="shared" si="70"/>
        <v>24239</v>
      </c>
      <c r="K70" s="15">
        <f t="shared" si="70"/>
        <v>25975</v>
      </c>
      <c r="L70" s="15">
        <f t="shared" si="70"/>
        <v>25659</v>
      </c>
      <c r="M70" s="15">
        <f t="shared" si="70"/>
        <v>25945</v>
      </c>
      <c r="N70" s="15">
        <f t="shared" si="70"/>
        <v>26557</v>
      </c>
      <c r="O70" s="15">
        <f t="shared" si="70"/>
        <v>27786</v>
      </c>
      <c r="P70" s="15">
        <f t="shared" si="70"/>
        <v>30247</v>
      </c>
      <c r="Q70" s="15">
        <f t="shared" ref="Q70:R70" si="71">SUM(Q65:Q69)</f>
        <v>31862</v>
      </c>
      <c r="R70" s="15">
        <f t="shared" si="71"/>
        <v>41309</v>
      </c>
      <c r="S70" s="15">
        <f t="shared" ref="S70:T70" si="72">SUM(S65:S69)</f>
        <v>42299</v>
      </c>
      <c r="T70" s="15">
        <f t="shared" si="72"/>
        <v>43111</v>
      </c>
      <c r="U70" s="15">
        <f t="shared" ref="U70:W70" si="73">SUM(U65:U69)</f>
        <v>42622</v>
      </c>
      <c r="V70" s="15">
        <f t="shared" si="73"/>
        <v>39768</v>
      </c>
      <c r="W70" s="15">
        <f t="shared" si="73"/>
        <v>42683</v>
      </c>
      <c r="X70" s="15">
        <f t="shared" ref="X70:Y70" si="74">SUM(X65:X69)</f>
        <v>43815</v>
      </c>
      <c r="Y70" s="15">
        <f t="shared" si="74"/>
        <v>46874</v>
      </c>
      <c r="Z70" s="15">
        <f t="shared" ref="Z70:AA70" si="75">SUM(Z65:Z69)</f>
        <v>49381</v>
      </c>
      <c r="AA70" s="15">
        <f t="shared" si="75"/>
        <v>46803</v>
      </c>
      <c r="AB70" s="78"/>
    </row>
    <row r="71" spans="2:28" s="2" customFormat="1"/>
    <row r="72" spans="2:28" s="2" customFormat="1"/>
    <row r="73" spans="2:28" s="2" customFormat="1">
      <c r="C73" s="78"/>
      <c r="D73" s="78"/>
      <c r="E73" s="78"/>
      <c r="F73" s="78"/>
      <c r="G73" s="78"/>
      <c r="H73" s="78"/>
      <c r="I73" s="78"/>
      <c r="J73" s="78"/>
      <c r="K73" s="78"/>
      <c r="L73" s="78"/>
      <c r="M73" s="78"/>
      <c r="N73" s="78"/>
      <c r="O73" s="78"/>
      <c r="P73" s="78"/>
      <c r="Q73" s="78"/>
      <c r="R73" s="78"/>
      <c r="S73" s="78"/>
      <c r="T73" s="78"/>
      <c r="U73" s="78"/>
      <c r="V73" s="78"/>
      <c r="W73" s="78"/>
      <c r="AA73" s="78"/>
    </row>
    <row r="74" spans="2:28" s="2" customFormat="1"/>
    <row r="75" spans="2:28" s="2" customFormat="1"/>
    <row r="76" spans="2:28" s="2" customFormat="1"/>
    <row r="77" spans="2:28" s="2" customFormat="1"/>
    <row r="78" spans="2:28" s="2" customFormat="1"/>
    <row r="79" spans="2:28" s="2" customFormat="1"/>
    <row r="80" spans="2:28"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row r="392" s="2" customFormat="1"/>
    <row r="393" s="2" customFormat="1"/>
    <row r="394" s="2" customFormat="1"/>
    <row r="395" s="2" customFormat="1"/>
    <row r="396" s="2" customForma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pans="2:15" s="2" customFormat="1"/>
    <row r="674" spans="2:15" s="2" customFormat="1"/>
    <row r="675" spans="2:15" s="2" customFormat="1"/>
    <row r="676" spans="2:15" s="2" customFormat="1"/>
    <row r="677" spans="2:15" s="2" customFormat="1"/>
    <row r="678" spans="2:15" s="2" customFormat="1"/>
    <row r="679" spans="2:15" s="2" customFormat="1"/>
    <row r="680" spans="2:15" s="2" customFormat="1"/>
    <row r="681" spans="2:15">
      <c r="B681" s="2"/>
      <c r="C681" s="2"/>
      <c r="D681" s="2"/>
      <c r="E681" s="2"/>
      <c r="F681" s="2"/>
      <c r="G681" s="2"/>
      <c r="H681" s="2"/>
      <c r="I681" s="2"/>
      <c r="J681" s="2"/>
      <c r="K681" s="2"/>
      <c r="L681" s="2"/>
      <c r="M681" s="2"/>
      <c r="N681" s="2"/>
      <c r="O681" s="2"/>
    </row>
  </sheetData>
  <sortState xmlns:xlrd2="http://schemas.microsoft.com/office/spreadsheetml/2017/richdata2" columnSort="1" ref="C1:P70">
    <sortCondition descending="1" ref="C1:P1"/>
  </sortState>
  <pageMargins left="0.2" right="0.21" top="0.74803149606299213" bottom="0.74803149606299213" header="0.31496062992125984" footer="0.31496062992125984"/>
  <pageSetup paperSize="9" scale="85" orientation="landscape" r:id="rId1"/>
  <customProperties>
    <customPr name="EpmWorksheetKeyString_GUID" r:id="rId2"/>
  </customProperties>
  <ignoredErrors>
    <ignoredError sqref="C12:AA104857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270"/>
  <sheetViews>
    <sheetView zoomScaleNormal="100" workbookViewId="0">
      <selection activeCell="B1" sqref="B1"/>
    </sheetView>
  </sheetViews>
  <sheetFormatPr defaultRowHeight="15"/>
  <cols>
    <col min="1" max="1" width="0.140625" style="2" customWidth="1"/>
    <col min="2" max="2" width="44.7109375" customWidth="1"/>
    <col min="3" max="19" width="12.7109375" customWidth="1"/>
    <col min="20" max="21" width="13.28515625" style="2" bestFit="1" customWidth="1"/>
    <col min="22" max="28" width="12.7109375" customWidth="1"/>
    <col min="29" max="30" width="12.7109375" style="2" customWidth="1"/>
    <col min="31" max="33" width="12.7109375" customWidth="1"/>
    <col min="34" max="35" width="17.28515625" style="2" bestFit="1" customWidth="1"/>
    <col min="36" max="55" width="9.140625" style="2"/>
  </cols>
  <sheetData>
    <row r="1" spans="2:35" s="2" customFormat="1">
      <c r="B1" s="3" t="s">
        <v>92</v>
      </c>
      <c r="C1" s="3"/>
      <c r="D1" s="3"/>
      <c r="E1" s="3"/>
      <c r="F1" s="3"/>
      <c r="G1" s="3"/>
      <c r="H1" s="3"/>
      <c r="I1" s="3"/>
      <c r="J1" s="3"/>
      <c r="K1" s="3"/>
      <c r="L1" s="3"/>
      <c r="M1" s="3"/>
      <c r="N1" s="3"/>
      <c r="O1" s="3"/>
      <c r="P1" s="3"/>
      <c r="Q1" s="3"/>
      <c r="R1" s="3"/>
      <c r="S1" s="3"/>
      <c r="V1" s="3"/>
      <c r="W1" s="3"/>
      <c r="X1" s="3"/>
      <c r="Y1" s="3"/>
      <c r="Z1" s="3"/>
      <c r="AA1" s="3"/>
      <c r="AB1" s="3"/>
      <c r="AE1" s="3"/>
      <c r="AF1" s="3"/>
      <c r="AG1" s="3"/>
    </row>
    <row r="2" spans="2:35" s="2" customFormat="1">
      <c r="Q2" s="79"/>
      <c r="V2" s="79"/>
      <c r="AA2" s="79"/>
      <c r="AF2" s="79"/>
    </row>
    <row r="3" spans="2:35">
      <c r="B3" s="4" t="s">
        <v>93</v>
      </c>
      <c r="C3" s="7" t="s">
        <v>164</v>
      </c>
      <c r="D3" s="7" t="s">
        <v>176</v>
      </c>
      <c r="E3" s="7" t="s">
        <v>183</v>
      </c>
      <c r="F3" s="7" t="s">
        <v>185</v>
      </c>
      <c r="G3" s="7" t="s">
        <v>186</v>
      </c>
      <c r="H3" s="7" t="s">
        <v>188</v>
      </c>
      <c r="I3" s="7" t="s">
        <v>194</v>
      </c>
      <c r="J3" s="7" t="s">
        <v>196</v>
      </c>
      <c r="K3" s="7" t="s">
        <v>199</v>
      </c>
      <c r="L3" s="7" t="s">
        <v>200</v>
      </c>
      <c r="M3" s="7" t="s">
        <v>202</v>
      </c>
      <c r="N3" s="7" t="s">
        <v>211</v>
      </c>
      <c r="O3" s="7" t="s">
        <v>216</v>
      </c>
      <c r="P3" s="7" t="s">
        <v>218</v>
      </c>
      <c r="Q3" s="7" t="s">
        <v>219</v>
      </c>
      <c r="R3" s="7" t="s">
        <v>222</v>
      </c>
      <c r="S3" s="7" t="s">
        <v>235</v>
      </c>
      <c r="T3" s="7" t="s">
        <v>238</v>
      </c>
      <c r="U3" s="7" t="s">
        <v>240</v>
      </c>
      <c r="V3" s="7" t="s">
        <v>241</v>
      </c>
      <c r="W3" s="7" t="s">
        <v>243</v>
      </c>
      <c r="X3" s="7" t="s">
        <v>245</v>
      </c>
      <c r="Y3" s="7" t="s">
        <v>254</v>
      </c>
      <c r="Z3" s="7" t="s">
        <v>257</v>
      </c>
      <c r="AA3" s="7" t="s">
        <v>258</v>
      </c>
      <c r="AB3" s="7" t="s">
        <v>259</v>
      </c>
      <c r="AC3" s="7" t="str">
        <f>+RR!AC3</f>
        <v>Kv2 2024</v>
      </c>
      <c r="AD3" s="7" t="str">
        <f>+RR!AD3</f>
        <v>Kv3 2024</v>
      </c>
      <c r="AE3" s="7" t="s">
        <v>288</v>
      </c>
      <c r="AF3" s="7" t="s">
        <v>289</v>
      </c>
      <c r="AG3" s="7" t="s">
        <v>326</v>
      </c>
      <c r="AH3" s="153"/>
      <c r="AI3" s="153"/>
    </row>
    <row r="4" spans="2:35">
      <c r="B4" s="10" t="s">
        <v>44</v>
      </c>
      <c r="C4" s="22">
        <f>RR!C13</f>
        <v>943</v>
      </c>
      <c r="D4" s="22">
        <f>RR!D13</f>
        <v>962</v>
      </c>
      <c r="E4" s="22">
        <f>RR!E13</f>
        <v>902</v>
      </c>
      <c r="F4" s="22">
        <f>RR!F13</f>
        <v>882</v>
      </c>
      <c r="G4" s="22">
        <f>RR!G13</f>
        <v>3689</v>
      </c>
      <c r="H4" s="22">
        <f>RR!H13</f>
        <v>865</v>
      </c>
      <c r="I4" s="22">
        <f>RR!I13</f>
        <v>612</v>
      </c>
      <c r="J4" s="22">
        <f>RR!J13</f>
        <v>684</v>
      </c>
      <c r="K4" s="22">
        <f>RR!K13</f>
        <v>845</v>
      </c>
      <c r="L4" s="22">
        <f>RR!L13</f>
        <v>3006</v>
      </c>
      <c r="M4" s="22">
        <f>RR!M13</f>
        <v>982</v>
      </c>
      <c r="N4" s="22">
        <f>RR!N13</f>
        <v>1036</v>
      </c>
      <c r="O4" s="22">
        <f>RR!O13</f>
        <v>957</v>
      </c>
      <c r="P4" s="22">
        <f>RR!P13</f>
        <v>928</v>
      </c>
      <c r="Q4" s="22">
        <f>RR!Q13</f>
        <v>3903</v>
      </c>
      <c r="R4" s="22">
        <f>RR!R13</f>
        <v>1230</v>
      </c>
      <c r="S4" s="22">
        <f>RR!S13</f>
        <v>1319</v>
      </c>
      <c r="T4" s="22">
        <f>RR!T13</f>
        <v>1278</v>
      </c>
      <c r="U4" s="22">
        <f>RR!U13</f>
        <v>1239</v>
      </c>
      <c r="V4" s="22">
        <f>RR!V13</f>
        <v>5066</v>
      </c>
      <c r="W4" s="22">
        <f>RR!W13</f>
        <v>1411</v>
      </c>
      <c r="X4" s="106">
        <f>RR!X13</f>
        <v>1442</v>
      </c>
      <c r="Y4" s="106">
        <f>RR!Y13</f>
        <v>1361</v>
      </c>
      <c r="Z4" s="106">
        <f>RR!Z13</f>
        <v>1304</v>
      </c>
      <c r="AA4" s="22">
        <f>RR!AA13</f>
        <v>5518</v>
      </c>
      <c r="AB4" s="22">
        <f>RR!AB13</f>
        <v>1379</v>
      </c>
      <c r="AC4" s="22">
        <f>RR!AC13</f>
        <v>1483</v>
      </c>
      <c r="AD4" s="22">
        <f>RR!AD13</f>
        <v>1320</v>
      </c>
      <c r="AE4" s="106">
        <f>RR!AE13</f>
        <v>1420</v>
      </c>
      <c r="AF4" s="22">
        <f>RR!AF13</f>
        <v>5602</v>
      </c>
      <c r="AG4" s="22">
        <f>RR!AG13</f>
        <v>1462</v>
      </c>
      <c r="AH4" s="153"/>
      <c r="AI4" s="153"/>
    </row>
    <row r="5" spans="2:35">
      <c r="B5" s="75" t="s">
        <v>191</v>
      </c>
      <c r="C5" s="22">
        <f>-RR!C64</f>
        <v>248</v>
      </c>
      <c r="D5" s="22">
        <f>-RR!D64</f>
        <v>266</v>
      </c>
      <c r="E5" s="22">
        <f>-RR!E64</f>
        <v>264</v>
      </c>
      <c r="F5" s="22">
        <f>-RR!F64</f>
        <v>282</v>
      </c>
      <c r="G5" s="22">
        <f>-RR!G64</f>
        <v>1060</v>
      </c>
      <c r="H5" s="22">
        <f>-RR!H64</f>
        <v>254</v>
      </c>
      <c r="I5" s="22">
        <f>-RR!I64</f>
        <v>288</v>
      </c>
      <c r="J5" s="22">
        <f>-RR!J64</f>
        <v>253</v>
      </c>
      <c r="K5" s="22">
        <f>-RR!K64</f>
        <v>259</v>
      </c>
      <c r="L5" s="22">
        <f>-RR!L64</f>
        <v>1054</v>
      </c>
      <c r="M5" s="22">
        <f>-RR!M64</f>
        <v>243</v>
      </c>
      <c r="N5" s="22">
        <f>-RR!N64</f>
        <v>241</v>
      </c>
      <c r="O5" s="22">
        <f>-RR!O64</f>
        <v>243</v>
      </c>
      <c r="P5" s="22">
        <f>-RR!P64</f>
        <v>246</v>
      </c>
      <c r="Q5" s="22">
        <f>-RR!Q64</f>
        <v>973</v>
      </c>
      <c r="R5" s="22">
        <f>-RR!R64</f>
        <v>255</v>
      </c>
      <c r="S5" s="22">
        <f>-RR!S64</f>
        <v>264</v>
      </c>
      <c r="T5" s="22">
        <f>-RR!T64</f>
        <v>272</v>
      </c>
      <c r="U5" s="22">
        <f>-RR!U64</f>
        <v>302</v>
      </c>
      <c r="V5" s="22">
        <f>-RR!V64</f>
        <v>1093</v>
      </c>
      <c r="W5" s="22">
        <f>-RR!W64</f>
        <v>315</v>
      </c>
      <c r="X5" s="106">
        <f>-RR!X64</f>
        <v>317</v>
      </c>
      <c r="Y5" s="106">
        <f>-RR!Y64</f>
        <v>328</v>
      </c>
      <c r="Z5" s="106">
        <f>-RR!Z64</f>
        <v>348</v>
      </c>
      <c r="AA5" s="22">
        <f>-RR!AA64</f>
        <v>1308</v>
      </c>
      <c r="AB5" s="22">
        <f>-RR!AB64</f>
        <v>322</v>
      </c>
      <c r="AC5" s="22">
        <f>-RR!AC64</f>
        <v>327</v>
      </c>
      <c r="AD5" s="22">
        <f>-RR!AD64</f>
        <v>332</v>
      </c>
      <c r="AE5" s="106">
        <f>-RR!AE64</f>
        <v>346</v>
      </c>
      <c r="AF5" s="22">
        <f>-RR!AF64</f>
        <v>1327</v>
      </c>
      <c r="AG5" s="22">
        <f>-RR!AG64</f>
        <v>345</v>
      </c>
      <c r="AH5" s="153"/>
      <c r="AI5" s="153"/>
    </row>
    <row r="6" spans="2:35">
      <c r="B6" s="75" t="s">
        <v>192</v>
      </c>
      <c r="C6" s="22">
        <f>-RR!C65-RR!C67</f>
        <v>55</v>
      </c>
      <c r="D6" s="22">
        <f>-RR!D65-RR!D67</f>
        <v>54</v>
      </c>
      <c r="E6" s="22">
        <f>-RR!E65-RR!E67</f>
        <v>63</v>
      </c>
      <c r="F6" s="22">
        <f>-RR!F65-RR!F67</f>
        <v>60</v>
      </c>
      <c r="G6" s="22">
        <f>-RR!G65-RR!G67</f>
        <v>232</v>
      </c>
      <c r="H6" s="22">
        <f>-RR!H65-RR!H67</f>
        <v>62</v>
      </c>
      <c r="I6" s="22">
        <f>-RR!I65-RR!I67</f>
        <v>61</v>
      </c>
      <c r="J6" s="22">
        <f>-RR!J65-RR!J67</f>
        <v>58</v>
      </c>
      <c r="K6" s="22">
        <f>-RR!K65-RR!K67</f>
        <v>57</v>
      </c>
      <c r="L6" s="22">
        <f>-RR!L65-RR!L67</f>
        <v>238</v>
      </c>
      <c r="M6" s="22">
        <f>-RR!M65-RR!M67</f>
        <v>55</v>
      </c>
      <c r="N6" s="22">
        <f>-RR!N65-RR!N67</f>
        <v>57</v>
      </c>
      <c r="O6" s="22">
        <f>-RR!O65-RR!O67</f>
        <v>56</v>
      </c>
      <c r="P6" s="22">
        <f>-RR!P65-RR!P67</f>
        <v>63</v>
      </c>
      <c r="Q6" s="22">
        <f>-RR!Q65-RR!Q67</f>
        <v>231</v>
      </c>
      <c r="R6" s="22">
        <f>-RR!R65-RR!R67</f>
        <v>63</v>
      </c>
      <c r="S6" s="22">
        <f>-RR!S65-RR!S67</f>
        <v>69</v>
      </c>
      <c r="T6" s="22">
        <f>-RR!T65-RR!T67</f>
        <v>71</v>
      </c>
      <c r="U6" s="22">
        <f>-RR!U65-RR!U67</f>
        <v>113</v>
      </c>
      <c r="V6" s="22">
        <f>-RR!V65-RR!V67</f>
        <v>316</v>
      </c>
      <c r="W6" s="22">
        <f>-RR!W65-RR!W67</f>
        <v>130</v>
      </c>
      <c r="X6" s="106">
        <f>-RR!X65-RR!X67</f>
        <v>132</v>
      </c>
      <c r="Y6" s="106">
        <f>-RR!Y65-RR!Y67</f>
        <v>142</v>
      </c>
      <c r="Z6" s="106">
        <f>-RR!Z65-RR!Z67</f>
        <v>138</v>
      </c>
      <c r="AA6" s="22">
        <f>-RR!AA65-RR!AA67</f>
        <v>542</v>
      </c>
      <c r="AB6" s="22">
        <f>-RR!AB65-RR!AB67</f>
        <v>133</v>
      </c>
      <c r="AC6" s="22">
        <f>-RR!AC65-RR!AC67</f>
        <v>140</v>
      </c>
      <c r="AD6" s="22">
        <f>-RR!AD65-RR!AD67</f>
        <v>169</v>
      </c>
      <c r="AE6" s="106">
        <f>-RR!AE65-RR!AE67</f>
        <v>178</v>
      </c>
      <c r="AF6" s="22">
        <f>-RR!AF65-RR!AF67</f>
        <v>620</v>
      </c>
      <c r="AG6" s="22">
        <f>-RR!AG65-RR!AG67</f>
        <v>175</v>
      </c>
      <c r="AH6" s="153"/>
      <c r="AI6" s="153"/>
    </row>
    <row r="7" spans="2:35" s="2" customFormat="1">
      <c r="B7" s="10" t="s">
        <v>19</v>
      </c>
      <c r="C7" s="22">
        <f t="shared" ref="C7:S7" si="0">SUM(C4:C6)</f>
        <v>1246</v>
      </c>
      <c r="D7" s="22">
        <f t="shared" si="0"/>
        <v>1282</v>
      </c>
      <c r="E7" s="22">
        <f t="shared" si="0"/>
        <v>1229</v>
      </c>
      <c r="F7" s="22">
        <f t="shared" si="0"/>
        <v>1224</v>
      </c>
      <c r="G7" s="22">
        <f>SUM(G4:G6)</f>
        <v>4981</v>
      </c>
      <c r="H7" s="22">
        <f t="shared" si="0"/>
        <v>1181</v>
      </c>
      <c r="I7" s="22">
        <f t="shared" si="0"/>
        <v>961</v>
      </c>
      <c r="J7" s="22">
        <f t="shared" si="0"/>
        <v>995</v>
      </c>
      <c r="K7" s="22">
        <f t="shared" si="0"/>
        <v>1161</v>
      </c>
      <c r="L7" s="22">
        <f>SUM(L4:L6)</f>
        <v>4298</v>
      </c>
      <c r="M7" s="112">
        <f t="shared" si="0"/>
        <v>1280</v>
      </c>
      <c r="N7" s="112">
        <f t="shared" si="0"/>
        <v>1334</v>
      </c>
      <c r="O7" s="112">
        <f t="shared" si="0"/>
        <v>1256</v>
      </c>
      <c r="P7" s="112">
        <f t="shared" si="0"/>
        <v>1237</v>
      </c>
      <c r="Q7" s="112">
        <f>SUM(Q4:Q6)</f>
        <v>5107</v>
      </c>
      <c r="R7" s="112">
        <f t="shared" si="0"/>
        <v>1548</v>
      </c>
      <c r="S7" s="112">
        <f t="shared" si="0"/>
        <v>1652</v>
      </c>
      <c r="T7" s="112">
        <f t="shared" ref="T7:U7" si="1">SUM(T4:T6)</f>
        <v>1621</v>
      </c>
      <c r="U7" s="112">
        <f t="shared" si="1"/>
        <v>1654</v>
      </c>
      <c r="V7" s="112">
        <f>SUM(V4:V6)</f>
        <v>6475</v>
      </c>
      <c r="W7" s="112">
        <f t="shared" ref="W7:X7" si="2">SUM(W4:W6)</f>
        <v>1856</v>
      </c>
      <c r="X7" s="51">
        <f t="shared" si="2"/>
        <v>1891</v>
      </c>
      <c r="Y7" s="51">
        <f t="shared" ref="Y7:Z7" si="3">SUM(Y4:Y6)</f>
        <v>1831</v>
      </c>
      <c r="Z7" s="51">
        <f t="shared" si="3"/>
        <v>1790</v>
      </c>
      <c r="AA7" s="112">
        <f>SUM(AA4:AA6)</f>
        <v>7368</v>
      </c>
      <c r="AB7" s="112">
        <f t="shared" ref="AB7:AC7" si="4">SUM(AB4:AB6)</f>
        <v>1834</v>
      </c>
      <c r="AC7" s="112">
        <f t="shared" si="4"/>
        <v>1950</v>
      </c>
      <c r="AD7" s="112">
        <f t="shared" ref="AD7:AE7" si="5">SUM(AD4:AD6)</f>
        <v>1821</v>
      </c>
      <c r="AE7" s="51">
        <f t="shared" si="5"/>
        <v>1944</v>
      </c>
      <c r="AF7" s="112">
        <f>SUM(AF4:AF6)</f>
        <v>7549</v>
      </c>
      <c r="AG7" s="112">
        <f t="shared" ref="AG7" si="6">SUM(AG4:AG6)</f>
        <v>1982</v>
      </c>
      <c r="AH7" s="153"/>
      <c r="AI7" s="153"/>
    </row>
    <row r="8" spans="2:35" s="2" customFormat="1">
      <c r="B8" s="10" t="s">
        <v>244</v>
      </c>
      <c r="C8" s="22">
        <v>-145</v>
      </c>
      <c r="D8" s="22">
        <v>-279</v>
      </c>
      <c r="E8" s="22">
        <v>-320</v>
      </c>
      <c r="F8" s="22">
        <v>-432</v>
      </c>
      <c r="G8" s="22">
        <f>SUM(C8:F8)</f>
        <v>-1176</v>
      </c>
      <c r="H8" s="10">
        <v>-188</v>
      </c>
      <c r="I8" s="10">
        <v>-115</v>
      </c>
      <c r="J8" s="10">
        <v>-122</v>
      </c>
      <c r="K8" s="10">
        <v>-279</v>
      </c>
      <c r="L8" s="22">
        <f>SUM(H8:K8)</f>
        <v>-704</v>
      </c>
      <c r="M8" s="10">
        <v>-189</v>
      </c>
      <c r="N8" s="10">
        <v>-167</v>
      </c>
      <c r="O8" s="10">
        <v>-279</v>
      </c>
      <c r="P8" s="10">
        <v>-410</v>
      </c>
      <c r="Q8" s="51">
        <f>SUM(M8:P8)</f>
        <v>-1045</v>
      </c>
      <c r="R8" s="10">
        <v>-334</v>
      </c>
      <c r="S8" s="10">
        <v>-290</v>
      </c>
      <c r="T8" s="10">
        <v>-272</v>
      </c>
      <c r="U8" s="10">
        <v>-434</v>
      </c>
      <c r="V8" s="51">
        <f>SUM(R8:U8)</f>
        <v>-1330</v>
      </c>
      <c r="W8" s="10">
        <v>-397</v>
      </c>
      <c r="X8" s="10">
        <v>-374</v>
      </c>
      <c r="Y8" s="10">
        <v>-397</v>
      </c>
      <c r="Z8" s="10">
        <v>-510</v>
      </c>
      <c r="AA8" s="51">
        <f>SUM(W8:Z8)</f>
        <v>-1678</v>
      </c>
      <c r="AB8" s="10">
        <v>-361</v>
      </c>
      <c r="AC8" s="10">
        <v>-496</v>
      </c>
      <c r="AD8" s="10">
        <v>-426</v>
      </c>
      <c r="AE8" s="10">
        <v>-600</v>
      </c>
      <c r="AF8" s="51">
        <f>SUM(AB8:AE8)</f>
        <v>-1883</v>
      </c>
      <c r="AG8" s="10">
        <f>-391-28</f>
        <v>-419</v>
      </c>
      <c r="AH8" s="153"/>
      <c r="AI8" s="153"/>
    </row>
    <row r="9" spans="2:35" s="2" customFormat="1">
      <c r="B9" s="45" t="s">
        <v>94</v>
      </c>
      <c r="C9" s="22">
        <v>6</v>
      </c>
      <c r="D9" s="22">
        <v>4</v>
      </c>
      <c r="E9" s="22">
        <v>-7</v>
      </c>
      <c r="F9" s="22">
        <v>4</v>
      </c>
      <c r="G9" s="22">
        <f t="shared" ref="G9:G15" si="7">SUM(C9:F9)</f>
        <v>7</v>
      </c>
      <c r="H9" s="45">
        <v>103</v>
      </c>
      <c r="I9" s="45">
        <v>26</v>
      </c>
      <c r="J9" s="45">
        <v>2</v>
      </c>
      <c r="K9" s="45">
        <v>8</v>
      </c>
      <c r="L9" s="22">
        <f t="shared" ref="L9:L13" si="8">SUM(H9:K9)</f>
        <v>139</v>
      </c>
      <c r="M9" s="45">
        <v>65</v>
      </c>
      <c r="N9" s="45">
        <v>4</v>
      </c>
      <c r="O9" s="45">
        <v>40</v>
      </c>
      <c r="P9" s="45">
        <v>5</v>
      </c>
      <c r="Q9" s="45">
        <f t="shared" ref="Q9:Q13" si="9">SUM(M9:P9)</f>
        <v>114</v>
      </c>
      <c r="R9" s="45">
        <v>5</v>
      </c>
      <c r="S9" s="45">
        <v>19</v>
      </c>
      <c r="T9" s="45">
        <v>7</v>
      </c>
      <c r="U9" s="45">
        <v>20</v>
      </c>
      <c r="V9" s="45">
        <f t="shared" ref="V9:V13" si="10">SUM(R9:U9)</f>
        <v>51</v>
      </c>
      <c r="W9" s="45">
        <v>12</v>
      </c>
      <c r="X9" s="45">
        <v>1</v>
      </c>
      <c r="Y9" s="45">
        <v>4</v>
      </c>
      <c r="Z9" s="45">
        <v>12</v>
      </c>
      <c r="AA9" s="45">
        <f t="shared" ref="AA9:AA13" si="11">SUM(W9:Z9)</f>
        <v>29</v>
      </c>
      <c r="AB9" s="45">
        <v>5</v>
      </c>
      <c r="AC9" s="45">
        <v>4</v>
      </c>
      <c r="AD9" s="45">
        <v>20</v>
      </c>
      <c r="AE9" s="45">
        <v>24</v>
      </c>
      <c r="AF9" s="45">
        <f t="shared" ref="AF9:AF13" si="12">SUM(AB9:AE9)</f>
        <v>53</v>
      </c>
      <c r="AG9" s="45">
        <v>40</v>
      </c>
      <c r="AH9" s="153"/>
      <c r="AI9" s="153"/>
    </row>
    <row r="10" spans="2:35" s="2" customFormat="1">
      <c r="B10" s="45" t="s">
        <v>172</v>
      </c>
      <c r="C10" s="39">
        <v>-68</v>
      </c>
      <c r="D10" s="39">
        <v>-71</v>
      </c>
      <c r="E10" s="39">
        <v>-74</v>
      </c>
      <c r="F10" s="39">
        <v>-84</v>
      </c>
      <c r="G10" s="39">
        <f t="shared" si="7"/>
        <v>-297</v>
      </c>
      <c r="H10" s="45">
        <v>-77</v>
      </c>
      <c r="I10" s="45">
        <v>-78</v>
      </c>
      <c r="J10" s="45">
        <v>-77</v>
      </c>
      <c r="K10" s="45">
        <v>-75</v>
      </c>
      <c r="L10" s="39">
        <f t="shared" si="8"/>
        <v>-307</v>
      </c>
      <c r="M10" s="45">
        <v>-76</v>
      </c>
      <c r="N10" s="45">
        <v>-79</v>
      </c>
      <c r="O10" s="45">
        <v>-72</v>
      </c>
      <c r="P10" s="45">
        <v>-75</v>
      </c>
      <c r="Q10" s="45">
        <f t="shared" si="9"/>
        <v>-302</v>
      </c>
      <c r="R10" s="45">
        <v>-76</v>
      </c>
      <c r="S10" s="45">
        <v>-78</v>
      </c>
      <c r="T10" s="45">
        <v>-81</v>
      </c>
      <c r="U10" s="45">
        <v>-87</v>
      </c>
      <c r="V10" s="45">
        <f t="shared" si="10"/>
        <v>-322</v>
      </c>
      <c r="W10" s="45">
        <v>-85</v>
      </c>
      <c r="X10" s="45">
        <v>-88</v>
      </c>
      <c r="Y10" s="45">
        <v>-153</v>
      </c>
      <c r="Z10" s="45">
        <v>-139</v>
      </c>
      <c r="AA10" s="45">
        <f t="shared" si="11"/>
        <v>-465</v>
      </c>
      <c r="AB10" s="45">
        <v>-85</v>
      </c>
      <c r="AC10" s="45">
        <v>-86</v>
      </c>
      <c r="AD10" s="45">
        <v>-83</v>
      </c>
      <c r="AE10" s="45">
        <v>-93</v>
      </c>
      <c r="AF10" s="45">
        <f t="shared" si="12"/>
        <v>-347</v>
      </c>
      <c r="AG10" s="45">
        <v>-92</v>
      </c>
      <c r="AH10" s="153"/>
      <c r="AI10" s="153"/>
    </row>
    <row r="11" spans="2:35" s="2" customFormat="1">
      <c r="B11" s="45" t="s">
        <v>266</v>
      </c>
      <c r="C11" s="22">
        <v>-823</v>
      </c>
      <c r="D11" s="22">
        <v>-191</v>
      </c>
      <c r="E11" s="22">
        <v>269</v>
      </c>
      <c r="F11" s="22">
        <v>460</v>
      </c>
      <c r="G11" s="22">
        <f t="shared" si="7"/>
        <v>-285</v>
      </c>
      <c r="H11" s="45">
        <v>-437</v>
      </c>
      <c r="I11" s="45">
        <v>278</v>
      </c>
      <c r="J11" s="45">
        <v>133</v>
      </c>
      <c r="K11" s="45">
        <v>470</v>
      </c>
      <c r="L11" s="22">
        <f t="shared" si="8"/>
        <v>444</v>
      </c>
      <c r="M11" s="45">
        <v>-759</v>
      </c>
      <c r="N11" s="45">
        <v>-101</v>
      </c>
      <c r="O11" s="45">
        <v>126</v>
      </c>
      <c r="P11" s="45">
        <v>183</v>
      </c>
      <c r="Q11" s="45">
        <f t="shared" si="9"/>
        <v>-551</v>
      </c>
      <c r="R11" s="45">
        <v>-809</v>
      </c>
      <c r="S11" s="118">
        <v>-505</v>
      </c>
      <c r="T11" s="45">
        <v>-336</v>
      </c>
      <c r="U11" s="45">
        <v>525</v>
      </c>
      <c r="V11" s="45">
        <f t="shared" si="10"/>
        <v>-1125</v>
      </c>
      <c r="W11" s="45">
        <v>-821</v>
      </c>
      <c r="X11" s="45">
        <v>151</v>
      </c>
      <c r="Y11" s="45">
        <v>320</v>
      </c>
      <c r="Z11" s="45">
        <v>312</v>
      </c>
      <c r="AA11" s="45">
        <f t="shared" si="11"/>
        <v>-38</v>
      </c>
      <c r="AB11" s="45">
        <v>-671</v>
      </c>
      <c r="AC11" s="45">
        <v>-182</v>
      </c>
      <c r="AD11" s="45">
        <v>88</v>
      </c>
      <c r="AE11" s="45">
        <v>413</v>
      </c>
      <c r="AF11" s="45">
        <f t="shared" si="12"/>
        <v>-352</v>
      </c>
      <c r="AG11" s="45">
        <v>-688</v>
      </c>
      <c r="AH11" s="153"/>
      <c r="AI11" s="153"/>
    </row>
    <row r="12" spans="2:35" s="2" customFormat="1">
      <c r="B12" s="45" t="s">
        <v>95</v>
      </c>
      <c r="C12" s="39">
        <v>0</v>
      </c>
      <c r="D12" s="39">
        <v>1</v>
      </c>
      <c r="E12" s="22">
        <v>1</v>
      </c>
      <c r="F12" s="22">
        <v>0</v>
      </c>
      <c r="G12" s="22">
        <f t="shared" si="7"/>
        <v>2</v>
      </c>
      <c r="H12" s="45">
        <v>0</v>
      </c>
      <c r="I12" s="39">
        <v>0</v>
      </c>
      <c r="J12" s="39">
        <v>0</v>
      </c>
      <c r="K12" s="45">
        <v>0</v>
      </c>
      <c r="L12" s="22">
        <f t="shared" si="8"/>
        <v>0</v>
      </c>
      <c r="M12" s="45">
        <v>0</v>
      </c>
      <c r="N12" s="45">
        <v>0</v>
      </c>
      <c r="O12" s="45">
        <v>1</v>
      </c>
      <c r="P12" s="45">
        <v>1</v>
      </c>
      <c r="Q12" s="45">
        <f t="shared" si="9"/>
        <v>2</v>
      </c>
      <c r="R12" s="45">
        <v>0</v>
      </c>
      <c r="S12" s="45">
        <v>0</v>
      </c>
      <c r="T12" s="45">
        <v>0</v>
      </c>
      <c r="U12" s="45">
        <v>0</v>
      </c>
      <c r="V12" s="45">
        <f t="shared" si="10"/>
        <v>0</v>
      </c>
      <c r="W12" s="45">
        <v>0</v>
      </c>
      <c r="X12" s="45">
        <v>8</v>
      </c>
      <c r="Y12" s="45">
        <v>0</v>
      </c>
      <c r="Z12" s="45">
        <v>1</v>
      </c>
      <c r="AA12" s="45">
        <f t="shared" si="11"/>
        <v>9</v>
      </c>
      <c r="AB12" s="39">
        <v>0</v>
      </c>
      <c r="AC12" s="45">
        <v>0</v>
      </c>
      <c r="AD12" s="45">
        <v>1</v>
      </c>
      <c r="AE12" s="45">
        <v>0</v>
      </c>
      <c r="AF12" s="45">
        <f t="shared" si="12"/>
        <v>1</v>
      </c>
      <c r="AG12" s="45">
        <v>0</v>
      </c>
      <c r="AH12" s="153"/>
      <c r="AI12" s="153"/>
    </row>
    <row r="13" spans="2:35" s="2" customFormat="1">
      <c r="B13" s="45" t="s">
        <v>171</v>
      </c>
      <c r="C13" s="22">
        <v>-4</v>
      </c>
      <c r="D13" s="22">
        <v>-4</v>
      </c>
      <c r="E13" s="22">
        <v>-6</v>
      </c>
      <c r="F13" s="22">
        <v>-13</v>
      </c>
      <c r="G13" s="22">
        <f t="shared" si="7"/>
        <v>-27</v>
      </c>
      <c r="H13" s="45">
        <v>-18</v>
      </c>
      <c r="I13" s="45">
        <v>0</v>
      </c>
      <c r="J13" s="45">
        <v>-3</v>
      </c>
      <c r="K13" s="45">
        <v>6</v>
      </c>
      <c r="L13" s="22">
        <f t="shared" si="8"/>
        <v>-15</v>
      </c>
      <c r="M13" s="45">
        <v>163</v>
      </c>
      <c r="N13" s="45">
        <v>-127</v>
      </c>
      <c r="O13" s="45">
        <v>-58</v>
      </c>
      <c r="P13" s="45">
        <v>-4</v>
      </c>
      <c r="Q13" s="45">
        <f t="shared" si="9"/>
        <v>-26</v>
      </c>
      <c r="R13" s="45">
        <v>-6</v>
      </c>
      <c r="S13" s="118">
        <v>0</v>
      </c>
      <c r="T13" s="45">
        <v>-11</v>
      </c>
      <c r="U13" s="45">
        <v>0</v>
      </c>
      <c r="V13" s="45">
        <f t="shared" si="10"/>
        <v>-17</v>
      </c>
      <c r="W13" s="45">
        <v>-16</v>
      </c>
      <c r="X13" s="45">
        <v>-4</v>
      </c>
      <c r="Y13" s="45">
        <v>3</v>
      </c>
      <c r="Z13" s="45">
        <v>-145</v>
      </c>
      <c r="AA13" s="45">
        <f t="shared" si="11"/>
        <v>-162</v>
      </c>
      <c r="AB13" s="45">
        <v>-4</v>
      </c>
      <c r="AC13" s="45">
        <v>0</v>
      </c>
      <c r="AD13" s="45">
        <v>1</v>
      </c>
      <c r="AE13" s="45">
        <v>-7</v>
      </c>
      <c r="AF13" s="45">
        <f t="shared" si="12"/>
        <v>-10</v>
      </c>
      <c r="AG13" s="45">
        <v>-2</v>
      </c>
      <c r="AH13" s="153"/>
      <c r="AI13" s="153"/>
    </row>
    <row r="14" spans="2:35" s="2" customFormat="1">
      <c r="B14" s="73" t="s">
        <v>267</v>
      </c>
      <c r="C14" s="24">
        <f t="shared" ref="C14" si="13">SUM(C7:C13)</f>
        <v>212</v>
      </c>
      <c r="D14" s="24">
        <f t="shared" ref="D14" si="14">SUM(D7:D13)</f>
        <v>742</v>
      </c>
      <c r="E14" s="24">
        <f t="shared" ref="E14" si="15">SUM(E7:E13)</f>
        <v>1092</v>
      </c>
      <c r="F14" s="24">
        <f t="shared" ref="F14" si="16">SUM(F7:F13)</f>
        <v>1159</v>
      </c>
      <c r="G14" s="24">
        <f t="shared" ref="G14" si="17">SUM(G7:G13)</f>
        <v>3205</v>
      </c>
      <c r="H14" s="24">
        <f t="shared" ref="H14" si="18">SUM(H7:H13)</f>
        <v>564</v>
      </c>
      <c r="I14" s="24">
        <f t="shared" ref="I14" si="19">SUM(I7:I13)</f>
        <v>1072</v>
      </c>
      <c r="J14" s="24">
        <f t="shared" ref="J14" si="20">SUM(J7:J13)</f>
        <v>928</v>
      </c>
      <c r="K14" s="24">
        <f t="shared" ref="K14" si="21">SUM(K7:K13)</f>
        <v>1291</v>
      </c>
      <c r="L14" s="24">
        <f t="shared" ref="L14" si="22">SUM(L7:L13)</f>
        <v>3855</v>
      </c>
      <c r="M14" s="24">
        <f t="shared" ref="M14" si="23">SUM(M7:M13)</f>
        <v>484</v>
      </c>
      <c r="N14" s="24">
        <f t="shared" ref="N14" si="24">SUM(N7:N13)</f>
        <v>864</v>
      </c>
      <c r="O14" s="24">
        <f t="shared" ref="O14" si="25">SUM(O7:O13)</f>
        <v>1014</v>
      </c>
      <c r="P14" s="24">
        <f t="shared" ref="P14" si="26">SUM(P7:P13)</f>
        <v>937</v>
      </c>
      <c r="Q14" s="24">
        <f t="shared" ref="Q14" si="27">SUM(Q7:Q13)</f>
        <v>3299</v>
      </c>
      <c r="R14" s="24">
        <f t="shared" ref="R14" si="28">SUM(R7:R13)</f>
        <v>328</v>
      </c>
      <c r="S14" s="24">
        <f t="shared" ref="S14" si="29">SUM(S7:S13)</f>
        <v>798</v>
      </c>
      <c r="T14" s="24">
        <f t="shared" ref="T14:W14" si="30">SUM(T7:T13)</f>
        <v>928</v>
      </c>
      <c r="U14" s="24">
        <f t="shared" si="30"/>
        <v>1678</v>
      </c>
      <c r="V14" s="24">
        <f t="shared" si="30"/>
        <v>3732</v>
      </c>
      <c r="W14" s="24">
        <f t="shared" si="30"/>
        <v>549</v>
      </c>
      <c r="X14" s="24">
        <f t="shared" ref="X14:Y14" si="31">SUM(X7:X13)</f>
        <v>1585</v>
      </c>
      <c r="Y14" s="24">
        <f t="shared" si="31"/>
        <v>1608</v>
      </c>
      <c r="Z14" s="24">
        <f t="shared" ref="Z14:AB14" si="32">SUM(Z7:Z13)</f>
        <v>1321</v>
      </c>
      <c r="AA14" s="24">
        <f t="shared" si="32"/>
        <v>5063</v>
      </c>
      <c r="AB14" s="24">
        <f t="shared" si="32"/>
        <v>718</v>
      </c>
      <c r="AC14" s="24">
        <f t="shared" ref="AC14:AG14" si="33">SUM(AC7:AC13)</f>
        <v>1190</v>
      </c>
      <c r="AD14" s="24">
        <f t="shared" si="33"/>
        <v>1422</v>
      </c>
      <c r="AE14" s="24">
        <f t="shared" si="33"/>
        <v>1681</v>
      </c>
      <c r="AF14" s="24">
        <f t="shared" si="33"/>
        <v>5011</v>
      </c>
      <c r="AG14" s="24">
        <f t="shared" si="33"/>
        <v>821</v>
      </c>
      <c r="AH14" s="153"/>
      <c r="AI14" s="153"/>
    </row>
    <row r="15" spans="2:35" s="2" customFormat="1">
      <c r="B15" s="73" t="s">
        <v>204</v>
      </c>
      <c r="C15" s="93">
        <v>-33</v>
      </c>
      <c r="D15" s="93">
        <v>309</v>
      </c>
      <c r="E15" s="93">
        <v>320</v>
      </c>
      <c r="F15" s="93">
        <v>366</v>
      </c>
      <c r="G15" s="93">
        <f t="shared" si="7"/>
        <v>962</v>
      </c>
      <c r="H15" s="93">
        <v>124</v>
      </c>
      <c r="I15" s="93">
        <v>368</v>
      </c>
      <c r="J15" s="93">
        <v>463</v>
      </c>
      <c r="K15" s="93">
        <v>522</v>
      </c>
      <c r="L15" s="93">
        <f t="shared" ref="L15" si="34">SUM(H15:K15)</f>
        <v>1477</v>
      </c>
      <c r="M15" s="85">
        <v>568</v>
      </c>
      <c r="N15" s="85">
        <v>466</v>
      </c>
      <c r="O15" s="85">
        <v>155</v>
      </c>
      <c r="P15" s="85">
        <v>81</v>
      </c>
      <c r="Q15" s="92">
        <f t="shared" ref="Q15" si="35">SUM(M15:P15)</f>
        <v>1270</v>
      </c>
      <c r="R15" s="85">
        <v>413</v>
      </c>
      <c r="S15" s="85">
        <v>313</v>
      </c>
      <c r="T15" s="85">
        <v>-9</v>
      </c>
      <c r="U15" s="85">
        <v>755</v>
      </c>
      <c r="V15" s="92">
        <f t="shared" ref="V15" si="36">SUM(R15:U15)</f>
        <v>1472</v>
      </c>
      <c r="W15" s="85">
        <v>30</v>
      </c>
      <c r="X15" s="85">
        <v>-356</v>
      </c>
      <c r="Y15" s="125">
        <v>0</v>
      </c>
      <c r="Z15" s="125">
        <v>0</v>
      </c>
      <c r="AA15" s="92">
        <f t="shared" ref="AA15" si="37">SUM(W15:Z15)</f>
        <v>-326</v>
      </c>
      <c r="AB15" s="125">
        <v>0</v>
      </c>
      <c r="AC15" s="125">
        <v>0</v>
      </c>
      <c r="AD15" s="125">
        <v>0</v>
      </c>
      <c r="AE15" s="125">
        <v>0</v>
      </c>
      <c r="AF15" s="125">
        <v>0</v>
      </c>
      <c r="AG15" s="125">
        <v>0</v>
      </c>
      <c r="AH15" s="153"/>
      <c r="AI15" s="153"/>
    </row>
    <row r="16" spans="2:35" s="2" customFormat="1">
      <c r="B16" s="73" t="s">
        <v>206</v>
      </c>
      <c r="C16" s="76">
        <f t="shared" ref="C16:AF16" si="38">SUM(C14:C15)</f>
        <v>179</v>
      </c>
      <c r="D16" s="76">
        <f t="shared" si="38"/>
        <v>1051</v>
      </c>
      <c r="E16" s="76">
        <f t="shared" si="38"/>
        <v>1412</v>
      </c>
      <c r="F16" s="76">
        <f t="shared" si="38"/>
        <v>1525</v>
      </c>
      <c r="G16" s="76">
        <f t="shared" si="38"/>
        <v>4167</v>
      </c>
      <c r="H16" s="76">
        <f t="shared" si="38"/>
        <v>688</v>
      </c>
      <c r="I16" s="76">
        <f t="shared" si="38"/>
        <v>1440</v>
      </c>
      <c r="J16" s="76">
        <f t="shared" si="38"/>
        <v>1391</v>
      </c>
      <c r="K16" s="76">
        <f t="shared" si="38"/>
        <v>1813</v>
      </c>
      <c r="L16" s="76">
        <f t="shared" si="38"/>
        <v>5332</v>
      </c>
      <c r="M16" s="76">
        <f t="shared" si="38"/>
        <v>1052</v>
      </c>
      <c r="N16" s="76">
        <f t="shared" si="38"/>
        <v>1330</v>
      </c>
      <c r="O16" s="76">
        <f t="shared" si="38"/>
        <v>1169</v>
      </c>
      <c r="P16" s="76">
        <f t="shared" si="38"/>
        <v>1018</v>
      </c>
      <c r="Q16" s="76">
        <f t="shared" si="38"/>
        <v>4569</v>
      </c>
      <c r="R16" s="76">
        <f t="shared" si="38"/>
        <v>741</v>
      </c>
      <c r="S16" s="76">
        <f t="shared" si="38"/>
        <v>1111</v>
      </c>
      <c r="T16" s="76">
        <f t="shared" si="38"/>
        <v>919</v>
      </c>
      <c r="U16" s="76">
        <f t="shared" si="38"/>
        <v>2433</v>
      </c>
      <c r="V16" s="76">
        <f t="shared" si="38"/>
        <v>5204</v>
      </c>
      <c r="W16" s="76">
        <f t="shared" si="38"/>
        <v>579</v>
      </c>
      <c r="X16" s="76">
        <f t="shared" si="38"/>
        <v>1229</v>
      </c>
      <c r="Y16" s="76">
        <f t="shared" si="38"/>
        <v>1608</v>
      </c>
      <c r="Z16" s="76">
        <f t="shared" si="38"/>
        <v>1321</v>
      </c>
      <c r="AA16" s="76">
        <f t="shared" si="38"/>
        <v>4737</v>
      </c>
      <c r="AB16" s="76">
        <f t="shared" si="38"/>
        <v>718</v>
      </c>
      <c r="AC16" s="76">
        <f t="shared" si="38"/>
        <v>1190</v>
      </c>
      <c r="AD16" s="76">
        <f t="shared" si="38"/>
        <v>1422</v>
      </c>
      <c r="AE16" s="76">
        <f t="shared" si="38"/>
        <v>1681</v>
      </c>
      <c r="AF16" s="76">
        <f t="shared" si="38"/>
        <v>5011</v>
      </c>
      <c r="AG16" s="76">
        <f t="shared" ref="AG16" si="39">SUM(AG14:AG15)</f>
        <v>821</v>
      </c>
      <c r="AH16" s="153"/>
      <c r="AI16" s="153"/>
    </row>
    <row r="17" spans="2:35" s="2" customFormat="1">
      <c r="B17" s="96"/>
      <c r="C17" s="97"/>
      <c r="D17" s="97"/>
      <c r="E17" s="97"/>
      <c r="F17" s="97"/>
      <c r="G17" s="97"/>
      <c r="H17" s="97"/>
      <c r="I17" s="97"/>
      <c r="J17" s="97"/>
      <c r="K17" s="97"/>
      <c r="L17" s="97"/>
      <c r="M17" s="97"/>
      <c r="N17" s="97"/>
      <c r="O17" s="97"/>
      <c r="P17" s="97"/>
      <c r="Q17" s="97"/>
      <c r="R17" s="97"/>
      <c r="S17" s="97"/>
      <c r="V17" s="97"/>
      <c r="W17" s="97"/>
      <c r="X17" s="97"/>
      <c r="Y17" s="97"/>
      <c r="Z17" s="97"/>
      <c r="AA17" s="97"/>
      <c r="AB17" s="97"/>
      <c r="AC17" s="97"/>
      <c r="AD17" s="97"/>
      <c r="AE17" s="97"/>
      <c r="AF17" s="97"/>
      <c r="AG17" s="97"/>
      <c r="AH17" s="153"/>
      <c r="AI17" s="153"/>
    </row>
    <row r="18" spans="2:35" s="2" customFormat="1">
      <c r="B18" s="4" t="s">
        <v>177</v>
      </c>
      <c r="C18" s="7" t="s">
        <v>164</v>
      </c>
      <c r="D18" s="7" t="s">
        <v>182</v>
      </c>
      <c r="E18" s="7" t="s">
        <v>184</v>
      </c>
      <c r="F18" s="7" t="s">
        <v>186</v>
      </c>
      <c r="G18" s="7" t="s">
        <v>186</v>
      </c>
      <c r="H18" s="7" t="s">
        <v>188</v>
      </c>
      <c r="I18" s="7" t="s">
        <v>195</v>
      </c>
      <c r="J18" s="7" t="s">
        <v>197</v>
      </c>
      <c r="K18" s="7" t="s">
        <v>200</v>
      </c>
      <c r="L18" s="7" t="s">
        <v>200</v>
      </c>
      <c r="M18" s="7" t="s">
        <v>202</v>
      </c>
      <c r="N18" s="7" t="s">
        <v>212</v>
      </c>
      <c r="O18" s="7" t="s">
        <v>217</v>
      </c>
      <c r="P18" s="7" t="s">
        <v>219</v>
      </c>
      <c r="Q18" s="7" t="s">
        <v>219</v>
      </c>
      <c r="R18" s="7" t="s">
        <v>222</v>
      </c>
      <c r="S18" s="7" t="s">
        <v>236</v>
      </c>
      <c r="T18" s="7" t="s">
        <v>239</v>
      </c>
      <c r="U18" s="7" t="s">
        <v>241</v>
      </c>
      <c r="V18" s="7" t="s">
        <v>241</v>
      </c>
      <c r="W18" s="7" t="s">
        <v>243</v>
      </c>
      <c r="X18" s="7" t="s">
        <v>250</v>
      </c>
      <c r="Y18" s="7" t="s">
        <v>256</v>
      </c>
      <c r="Z18" s="7" t="s">
        <v>258</v>
      </c>
      <c r="AA18" s="7" t="s">
        <v>258</v>
      </c>
      <c r="AB18" s="7" t="s">
        <v>259</v>
      </c>
      <c r="AC18" s="7" t="s">
        <v>261</v>
      </c>
      <c r="AD18" s="7" t="s">
        <v>270</v>
      </c>
      <c r="AE18" s="7" t="s">
        <v>289</v>
      </c>
      <c r="AF18" s="7" t="s">
        <v>289</v>
      </c>
      <c r="AG18" s="7" t="str">
        <f>+AG$3</f>
        <v>Kv1 2025</v>
      </c>
      <c r="AH18" s="153"/>
      <c r="AI18" s="153"/>
    </row>
    <row r="19" spans="2:35" s="2" customFormat="1">
      <c r="B19" s="60" t="s">
        <v>285</v>
      </c>
      <c r="C19" s="62">
        <v>-10499</v>
      </c>
      <c r="D19" s="62">
        <v>-10499</v>
      </c>
      <c r="E19" s="62">
        <v>-10499</v>
      </c>
      <c r="F19" s="62">
        <v>-10499</v>
      </c>
      <c r="G19" s="62">
        <v>-10499</v>
      </c>
      <c r="H19" s="62">
        <v>-14914</v>
      </c>
      <c r="I19" s="62">
        <v>-14914</v>
      </c>
      <c r="J19" s="62">
        <v>-14914</v>
      </c>
      <c r="K19" s="62">
        <v>-14914</v>
      </c>
      <c r="L19" s="62">
        <v>-14914</v>
      </c>
      <c r="M19" s="62">
        <v>-10026</v>
      </c>
      <c r="N19" s="62">
        <v>-10026</v>
      </c>
      <c r="O19" s="62">
        <v>-10026</v>
      </c>
      <c r="P19" s="62">
        <v>-10026</v>
      </c>
      <c r="Q19" s="62">
        <v>-10026</v>
      </c>
      <c r="R19" s="62">
        <v>-8367</v>
      </c>
      <c r="S19" s="62">
        <v>-8367</v>
      </c>
      <c r="T19" s="62">
        <v>-8367</v>
      </c>
      <c r="U19" s="62">
        <v>-8367</v>
      </c>
      <c r="V19" s="62">
        <v>-8367</v>
      </c>
      <c r="W19" s="62">
        <v>-20897</v>
      </c>
      <c r="X19" s="62">
        <v>-20897</v>
      </c>
      <c r="Y19" s="62">
        <v>-20897</v>
      </c>
      <c r="Z19" s="62">
        <v>-20897</v>
      </c>
      <c r="AA19" s="62">
        <v>-20897</v>
      </c>
      <c r="AB19" s="62">
        <v>2682</v>
      </c>
      <c r="AC19" s="62">
        <v>2682</v>
      </c>
      <c r="AD19" s="62">
        <v>2682</v>
      </c>
      <c r="AE19" s="62">
        <v>2682</v>
      </c>
      <c r="AF19" s="62">
        <v>2682</v>
      </c>
      <c r="AG19" s="62">
        <f>+AF36</f>
        <v>-6735</v>
      </c>
      <c r="AH19" s="153"/>
      <c r="AI19" s="153"/>
    </row>
    <row r="20" spans="2:35" s="2" customFormat="1">
      <c r="B20" s="19" t="s">
        <v>29</v>
      </c>
      <c r="C20" s="51">
        <f>C16</f>
        <v>179</v>
      </c>
      <c r="D20" s="51">
        <f>D16+C16</f>
        <v>1230</v>
      </c>
      <c r="E20" s="51">
        <f>C16+D16+E16</f>
        <v>2642</v>
      </c>
      <c r="F20" s="51">
        <f>C16+D16+E16+F16</f>
        <v>4167</v>
      </c>
      <c r="G20" s="51">
        <f>G16</f>
        <v>4167</v>
      </c>
      <c r="H20" s="51">
        <f>H16</f>
        <v>688</v>
      </c>
      <c r="I20" s="51">
        <f>I16+H16</f>
        <v>2128</v>
      </c>
      <c r="J20" s="51">
        <f>H16+I16+J16</f>
        <v>3519</v>
      </c>
      <c r="K20" s="51">
        <f>H16+I16+J16+K16</f>
        <v>5332</v>
      </c>
      <c r="L20" s="51">
        <f>L16</f>
        <v>5332</v>
      </c>
      <c r="M20" s="51">
        <f>M16</f>
        <v>1052</v>
      </c>
      <c r="N20" s="51">
        <f>N16+M16</f>
        <v>2382</v>
      </c>
      <c r="O20" s="51">
        <f>M16+N16+O16</f>
        <v>3551</v>
      </c>
      <c r="P20" s="51">
        <f>M16+N16+O16+P16</f>
        <v>4569</v>
      </c>
      <c r="Q20" s="51">
        <f>Q16</f>
        <v>4569</v>
      </c>
      <c r="R20" s="51">
        <f>R16</f>
        <v>741</v>
      </c>
      <c r="S20" s="51">
        <f>S16+R16</f>
        <v>1852</v>
      </c>
      <c r="T20" s="51">
        <f>R16+S16+T16</f>
        <v>2771</v>
      </c>
      <c r="U20" s="51">
        <f>S16+T16+U16+R16</f>
        <v>5204</v>
      </c>
      <c r="V20" s="51">
        <f>V16</f>
        <v>5204</v>
      </c>
      <c r="W20" s="51">
        <f>W16</f>
        <v>579</v>
      </c>
      <c r="X20" s="51">
        <f>X16+W16</f>
        <v>1808</v>
      </c>
      <c r="Y20" s="51">
        <f>Y16+X16+W16</f>
        <v>3416</v>
      </c>
      <c r="Z20" s="51">
        <f>Z16+Y16+X16+W16</f>
        <v>4737</v>
      </c>
      <c r="AA20" s="51">
        <f>AA16</f>
        <v>4737</v>
      </c>
      <c r="AB20" s="51">
        <f>AB16</f>
        <v>718</v>
      </c>
      <c r="AC20" s="51">
        <f>AC16+AB16</f>
        <v>1908</v>
      </c>
      <c r="AD20" s="51">
        <f>AD16+AC16+AB16</f>
        <v>3330</v>
      </c>
      <c r="AE20" s="51">
        <f>AE16+AD16+AC16+AB16</f>
        <v>5011</v>
      </c>
      <c r="AF20" s="51">
        <f>+AE20</f>
        <v>5011</v>
      </c>
      <c r="AG20" s="51">
        <f>AG16</f>
        <v>821</v>
      </c>
      <c r="AH20" s="153"/>
      <c r="AI20" s="153"/>
    </row>
    <row r="21" spans="2:35" s="2" customFormat="1">
      <c r="B21" s="45" t="s">
        <v>187</v>
      </c>
      <c r="C21" s="39">
        <v>0</v>
      </c>
      <c r="D21" s="39">
        <v>0</v>
      </c>
      <c r="E21" s="39">
        <v>0</v>
      </c>
      <c r="F21" s="39">
        <v>10</v>
      </c>
      <c r="G21" s="39">
        <v>10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f>+AE21</f>
        <v>0</v>
      </c>
      <c r="AG21" s="39">
        <f>+AF21</f>
        <v>0</v>
      </c>
      <c r="AH21" s="153"/>
      <c r="AI21" s="153"/>
    </row>
    <row r="22" spans="2:35" s="2" customFormat="1">
      <c r="B22" s="19" t="s">
        <v>96</v>
      </c>
      <c r="C22" s="51">
        <v>-61</v>
      </c>
      <c r="D22" s="51">
        <v>-133</v>
      </c>
      <c r="E22" s="51">
        <v>-226</v>
      </c>
      <c r="F22" s="51">
        <v>-353</v>
      </c>
      <c r="G22" s="51">
        <v>-353</v>
      </c>
      <c r="H22" s="51">
        <v>-104</v>
      </c>
      <c r="I22" s="51">
        <v>-181</v>
      </c>
      <c r="J22" s="51">
        <v>-205</v>
      </c>
      <c r="K22" s="51">
        <v>-325</v>
      </c>
      <c r="L22" s="51">
        <v>-325</v>
      </c>
      <c r="M22" s="51">
        <v>-76</v>
      </c>
      <c r="N22" s="51">
        <v>-21</v>
      </c>
      <c r="O22" s="51">
        <v>-8</v>
      </c>
      <c r="P22" s="51">
        <v>-98</v>
      </c>
      <c r="Q22" s="51">
        <v>-98</v>
      </c>
      <c r="R22" s="51">
        <v>-117</v>
      </c>
      <c r="S22" s="51">
        <v>-178</v>
      </c>
      <c r="T22" s="51">
        <v>-234</v>
      </c>
      <c r="U22" s="51">
        <v>-306</v>
      </c>
      <c r="V22" s="51">
        <v>-306</v>
      </c>
      <c r="W22" s="51">
        <v>-76</v>
      </c>
      <c r="X22" s="51">
        <v>-168</v>
      </c>
      <c r="Y22" s="51">
        <v>-336</v>
      </c>
      <c r="Z22" s="51">
        <v>-479</v>
      </c>
      <c r="AA22" s="51">
        <v>-479</v>
      </c>
      <c r="AB22" s="51">
        <v>-72</v>
      </c>
      <c r="AC22" s="51">
        <v>-119</v>
      </c>
      <c r="AD22" s="51">
        <v>-192</v>
      </c>
      <c r="AE22" s="51">
        <v>-334</v>
      </c>
      <c r="AF22" s="39">
        <f t="shared" ref="AF22:AF24" si="40">+AE22</f>
        <v>-334</v>
      </c>
      <c r="AG22" s="51">
        <v>-71</v>
      </c>
      <c r="AH22" s="153"/>
      <c r="AI22" s="153"/>
    </row>
    <row r="23" spans="2:35" s="2" customFormat="1">
      <c r="B23" s="19" t="s">
        <v>97</v>
      </c>
      <c r="C23" s="51">
        <v>-165</v>
      </c>
      <c r="D23" s="51">
        <v>-243</v>
      </c>
      <c r="E23" s="51">
        <v>-289</v>
      </c>
      <c r="F23" s="51">
        <v>-377</v>
      </c>
      <c r="G23" s="51">
        <v>-377</v>
      </c>
      <c r="H23" s="51">
        <v>-70</v>
      </c>
      <c r="I23" s="51">
        <v>-156</v>
      </c>
      <c r="J23" s="51">
        <v>-226</v>
      </c>
      <c r="K23" s="51">
        <v>-319</v>
      </c>
      <c r="L23" s="51">
        <v>-319</v>
      </c>
      <c r="M23" s="51">
        <v>-80</v>
      </c>
      <c r="N23" s="51">
        <v>-121</v>
      </c>
      <c r="O23" s="51">
        <v>-166</v>
      </c>
      <c r="P23" s="51">
        <v>-199</v>
      </c>
      <c r="Q23" s="51">
        <v>-199</v>
      </c>
      <c r="R23" s="51">
        <v>-22</v>
      </c>
      <c r="S23" s="51">
        <v>12</v>
      </c>
      <c r="T23" s="51">
        <v>-77</v>
      </c>
      <c r="U23" s="51">
        <v>-150</v>
      </c>
      <c r="V23" s="51">
        <v>-150</v>
      </c>
      <c r="W23" s="51">
        <v>-315</v>
      </c>
      <c r="X23" s="51">
        <v>-275</v>
      </c>
      <c r="Y23" s="51">
        <v>-343</v>
      </c>
      <c r="Z23" s="51">
        <v>-325</v>
      </c>
      <c r="AA23" s="51">
        <v>-325</v>
      </c>
      <c r="AB23" s="51">
        <v>-106</v>
      </c>
      <c r="AC23" s="51">
        <v>-184</v>
      </c>
      <c r="AD23" s="51">
        <v>-317</v>
      </c>
      <c r="AE23" s="51">
        <v>-365</v>
      </c>
      <c r="AF23" s="39">
        <f t="shared" si="40"/>
        <v>-365</v>
      </c>
      <c r="AG23" s="51">
        <v>-149</v>
      </c>
      <c r="AH23" s="153"/>
      <c r="AI23" s="153"/>
    </row>
    <row r="24" spans="2:35" s="2" customFormat="1">
      <c r="B24" s="19" t="s">
        <v>98</v>
      </c>
      <c r="C24" s="51">
        <v>-235</v>
      </c>
      <c r="D24" s="51">
        <v>-506</v>
      </c>
      <c r="E24" s="51">
        <v>-678</v>
      </c>
      <c r="F24" s="51">
        <v>-763</v>
      </c>
      <c r="G24" s="51">
        <v>-763</v>
      </c>
      <c r="H24" s="51">
        <v>-259</v>
      </c>
      <c r="I24" s="51">
        <v>-437</v>
      </c>
      <c r="J24" s="51">
        <v>-569</v>
      </c>
      <c r="K24" s="51">
        <v>-772</v>
      </c>
      <c r="L24" s="51">
        <v>-772</v>
      </c>
      <c r="M24" s="51">
        <v>-171</v>
      </c>
      <c r="N24" s="51">
        <v>-420</v>
      </c>
      <c r="O24" s="51">
        <v>-721</v>
      </c>
      <c r="P24" s="51">
        <v>-962</v>
      </c>
      <c r="Q24" s="51">
        <v>-962</v>
      </c>
      <c r="R24" s="51">
        <v>-202</v>
      </c>
      <c r="S24" s="51">
        <v>-703</v>
      </c>
      <c r="T24" s="51">
        <v>-978</v>
      </c>
      <c r="U24" s="51">
        <v>-1443</v>
      </c>
      <c r="V24" s="51">
        <v>-1443</v>
      </c>
      <c r="W24" s="51">
        <v>-292</v>
      </c>
      <c r="X24" s="51">
        <v>-811</v>
      </c>
      <c r="Y24" s="51">
        <v>-1108</v>
      </c>
      <c r="Z24" s="51">
        <v>-1407</v>
      </c>
      <c r="AA24" s="51">
        <v>-1407</v>
      </c>
      <c r="AB24" s="51">
        <v>-346</v>
      </c>
      <c r="AC24" s="51">
        <v>-741</v>
      </c>
      <c r="AD24" s="51">
        <v>-987</v>
      </c>
      <c r="AE24" s="51">
        <v>-1395</v>
      </c>
      <c r="AF24" s="39">
        <f t="shared" si="40"/>
        <v>-1395</v>
      </c>
      <c r="AG24" s="51">
        <v>-286</v>
      </c>
      <c r="AH24" s="153"/>
      <c r="AI24" s="153"/>
    </row>
    <row r="25" spans="2:35" s="2" customFormat="1">
      <c r="B25" s="60" t="s">
        <v>23</v>
      </c>
      <c r="C25" s="62">
        <f t="shared" ref="C25:S25" si="41">SUM(C20:C24)</f>
        <v>-282</v>
      </c>
      <c r="D25" s="62">
        <f t="shared" si="41"/>
        <v>348</v>
      </c>
      <c r="E25" s="62">
        <f t="shared" si="41"/>
        <v>1449</v>
      </c>
      <c r="F25" s="62">
        <f t="shared" si="41"/>
        <v>2684</v>
      </c>
      <c r="G25" s="62">
        <f t="shared" si="41"/>
        <v>2684</v>
      </c>
      <c r="H25" s="62">
        <f t="shared" si="41"/>
        <v>255</v>
      </c>
      <c r="I25" s="62">
        <f t="shared" si="41"/>
        <v>1354</v>
      </c>
      <c r="J25" s="62">
        <f t="shared" si="41"/>
        <v>2519</v>
      </c>
      <c r="K25" s="62">
        <f t="shared" si="41"/>
        <v>3916</v>
      </c>
      <c r="L25" s="62">
        <f t="shared" si="41"/>
        <v>3916</v>
      </c>
      <c r="M25" s="62">
        <f t="shared" si="41"/>
        <v>725</v>
      </c>
      <c r="N25" s="62">
        <f t="shared" si="41"/>
        <v>1820</v>
      </c>
      <c r="O25" s="62">
        <f t="shared" si="41"/>
        <v>2656</v>
      </c>
      <c r="P25" s="62">
        <f t="shared" si="41"/>
        <v>3310</v>
      </c>
      <c r="Q25" s="62">
        <f t="shared" si="41"/>
        <v>3310</v>
      </c>
      <c r="R25" s="62">
        <f t="shared" si="41"/>
        <v>400</v>
      </c>
      <c r="S25" s="62">
        <f t="shared" si="41"/>
        <v>983</v>
      </c>
      <c r="T25" s="62">
        <f t="shared" ref="T25:U25" si="42">SUM(T20:T24)</f>
        <v>1482</v>
      </c>
      <c r="U25" s="62">
        <f t="shared" si="42"/>
        <v>3305</v>
      </c>
      <c r="V25" s="62">
        <f t="shared" ref="V25" si="43">SUM(V20:V24)</f>
        <v>3305</v>
      </c>
      <c r="W25" s="62">
        <f t="shared" ref="W25:X25" si="44">SUM(W20:W24)</f>
        <v>-104</v>
      </c>
      <c r="X25" s="62">
        <f t="shared" si="44"/>
        <v>554</v>
      </c>
      <c r="Y25" s="62">
        <f t="shared" ref="Y25:AB25" si="45">SUM(Y20:Y24)</f>
        <v>1629</v>
      </c>
      <c r="Z25" s="62">
        <f t="shared" si="45"/>
        <v>2526</v>
      </c>
      <c r="AA25" s="62">
        <f t="shared" si="45"/>
        <v>2526</v>
      </c>
      <c r="AB25" s="62">
        <f t="shared" si="45"/>
        <v>194</v>
      </c>
      <c r="AC25" s="62">
        <f t="shared" ref="AC25:AG25" si="46">SUM(AC20:AC24)</f>
        <v>864</v>
      </c>
      <c r="AD25" s="62">
        <f t="shared" si="46"/>
        <v>1834</v>
      </c>
      <c r="AE25" s="62">
        <f t="shared" si="46"/>
        <v>2917</v>
      </c>
      <c r="AF25" s="62">
        <f t="shared" si="46"/>
        <v>2917</v>
      </c>
      <c r="AG25" s="62">
        <f t="shared" si="46"/>
        <v>315</v>
      </c>
      <c r="AH25" s="153"/>
      <c r="AI25" s="153"/>
    </row>
    <row r="26" spans="2:35" s="2" customFormat="1">
      <c r="B26" s="19" t="s">
        <v>99</v>
      </c>
      <c r="C26" s="51">
        <v>-1099</v>
      </c>
      <c r="D26" s="51">
        <v>-1108</v>
      </c>
      <c r="E26" s="51">
        <v>-2241</v>
      </c>
      <c r="F26" s="51">
        <v>-3066</v>
      </c>
      <c r="G26" s="51">
        <v>-3066</v>
      </c>
      <c r="H26" s="51">
        <v>-3</v>
      </c>
      <c r="I26" s="51">
        <v>3</v>
      </c>
      <c r="J26" s="51">
        <v>3</v>
      </c>
      <c r="K26" s="51">
        <v>3</v>
      </c>
      <c r="L26" s="51">
        <v>3</v>
      </c>
      <c r="M26" s="51">
        <v>-157</v>
      </c>
      <c r="N26" s="51">
        <v>-174</v>
      </c>
      <c r="O26" s="51">
        <v>-181</v>
      </c>
      <c r="P26" s="51">
        <v>-573</v>
      </c>
      <c r="Q26" s="51">
        <v>-573</v>
      </c>
      <c r="R26" s="51">
        <v>-1</v>
      </c>
      <c r="S26" s="51">
        <v>-248</v>
      </c>
      <c r="T26" s="51">
        <v>-264</v>
      </c>
      <c r="U26" s="51">
        <v>-11199</v>
      </c>
      <c r="V26" s="51">
        <v>-11199</v>
      </c>
      <c r="W26" s="51">
        <v>-45</v>
      </c>
      <c r="X26" s="51">
        <v>-431</v>
      </c>
      <c r="Y26" s="51">
        <v>-416</v>
      </c>
      <c r="Z26" s="51">
        <v>-447</v>
      </c>
      <c r="AA26" s="51">
        <v>-447</v>
      </c>
      <c r="AB26" s="39">
        <v>0</v>
      </c>
      <c r="AC26" s="51">
        <v>-1099</v>
      </c>
      <c r="AD26" s="51">
        <v>-5105</v>
      </c>
      <c r="AE26" s="51">
        <v>-5496</v>
      </c>
      <c r="AF26" s="39">
        <f>+AE26</f>
        <v>-5496</v>
      </c>
      <c r="AG26" s="39">
        <v>-632</v>
      </c>
      <c r="AH26" s="153"/>
      <c r="AI26" s="153"/>
    </row>
    <row r="27" spans="2:35" s="2" customFormat="1">
      <c r="B27" s="19" t="s">
        <v>178</v>
      </c>
      <c r="C27" s="39">
        <v>0</v>
      </c>
      <c r="D27" s="39">
        <v>0</v>
      </c>
      <c r="E27" s="39">
        <v>0</v>
      </c>
      <c r="F27" s="39">
        <v>0</v>
      </c>
      <c r="G27" s="39">
        <v>0</v>
      </c>
      <c r="H27" s="39">
        <v>27</v>
      </c>
      <c r="I27" s="39">
        <v>147</v>
      </c>
      <c r="J27" s="39">
        <v>147</v>
      </c>
      <c r="K27" s="39">
        <v>147</v>
      </c>
      <c r="L27" s="39">
        <v>147</v>
      </c>
      <c r="M27" s="39">
        <v>-12</v>
      </c>
      <c r="N27" s="39">
        <v>143</v>
      </c>
      <c r="O27" s="39">
        <v>143</v>
      </c>
      <c r="P27" s="39">
        <v>616</v>
      </c>
      <c r="Q27" s="39">
        <v>616</v>
      </c>
      <c r="R27" s="39">
        <v>149</v>
      </c>
      <c r="S27" s="39">
        <v>149</v>
      </c>
      <c r="T27" s="39">
        <v>149</v>
      </c>
      <c r="U27" s="39">
        <v>149</v>
      </c>
      <c r="V27" s="39">
        <v>149</v>
      </c>
      <c r="W27" s="39">
        <v>0</v>
      </c>
      <c r="X27" s="51">
        <v>26442</v>
      </c>
      <c r="Y27" s="51">
        <v>26328</v>
      </c>
      <c r="Z27" s="51">
        <v>26462</v>
      </c>
      <c r="AA27" s="51">
        <v>26462</v>
      </c>
      <c r="AB27" s="39">
        <v>0</v>
      </c>
      <c r="AC27" s="39">
        <v>0</v>
      </c>
      <c r="AD27" s="39">
        <v>0</v>
      </c>
      <c r="AE27" s="39">
        <v>0</v>
      </c>
      <c r="AF27" s="39">
        <v>0</v>
      </c>
      <c r="AG27" s="39">
        <v>0</v>
      </c>
      <c r="AH27" s="153"/>
      <c r="AI27" s="153"/>
    </row>
    <row r="28" spans="2:35" s="2" customFormat="1">
      <c r="B28" s="19" t="s">
        <v>100</v>
      </c>
      <c r="C28" s="39">
        <v>0</v>
      </c>
      <c r="D28" s="51">
        <v>-1288</v>
      </c>
      <c r="E28" s="51">
        <v>-1288</v>
      </c>
      <c r="F28" s="51">
        <v>-1288</v>
      </c>
      <c r="G28" s="51">
        <v>-1288</v>
      </c>
      <c r="H28" s="39">
        <v>0</v>
      </c>
      <c r="I28" s="39">
        <v>0</v>
      </c>
      <c r="J28" s="39">
        <v>0</v>
      </c>
      <c r="K28" s="39">
        <v>0</v>
      </c>
      <c r="L28" s="39">
        <v>0</v>
      </c>
      <c r="M28" s="39">
        <v>0</v>
      </c>
      <c r="N28" s="51">
        <v>-1355</v>
      </c>
      <c r="O28" s="51">
        <v>-1355</v>
      </c>
      <c r="P28" s="51">
        <v>-1355</v>
      </c>
      <c r="Q28" s="51">
        <v>-1355</v>
      </c>
      <c r="R28" s="39">
        <v>0</v>
      </c>
      <c r="S28" s="51">
        <v>-1481</v>
      </c>
      <c r="T28" s="51">
        <v>-1481</v>
      </c>
      <c r="U28" s="51">
        <v>-1481</v>
      </c>
      <c r="V28" s="51">
        <v>-1481</v>
      </c>
      <c r="W28" s="39">
        <v>0</v>
      </c>
      <c r="X28" s="51">
        <v>-1524</v>
      </c>
      <c r="Y28" s="51">
        <v>-1524</v>
      </c>
      <c r="Z28" s="39">
        <v>-1524</v>
      </c>
      <c r="AA28" s="51">
        <v>-1524</v>
      </c>
      <c r="AB28" s="39">
        <v>0</v>
      </c>
      <c r="AC28" s="51">
        <v>-1617</v>
      </c>
      <c r="AD28" s="39">
        <v>-1617</v>
      </c>
      <c r="AE28" s="39">
        <v>-1617</v>
      </c>
      <c r="AF28" s="39">
        <f t="shared" ref="AF28:AG35" si="47">+AE28</f>
        <v>-1617</v>
      </c>
      <c r="AG28" s="39">
        <v>0</v>
      </c>
      <c r="AH28" s="153"/>
      <c r="AI28" s="153"/>
    </row>
    <row r="29" spans="2:35" s="2" customFormat="1">
      <c r="B29" s="10" t="s">
        <v>205</v>
      </c>
      <c r="C29" s="39">
        <v>0</v>
      </c>
      <c r="D29" s="39">
        <v>0</v>
      </c>
      <c r="E29" s="39">
        <v>0</v>
      </c>
      <c r="F29" s="39">
        <v>0</v>
      </c>
      <c r="G29" s="39">
        <v>0</v>
      </c>
      <c r="H29" s="39">
        <v>0</v>
      </c>
      <c r="I29" s="39">
        <v>0</v>
      </c>
      <c r="J29" s="39">
        <v>0</v>
      </c>
      <c r="K29" s="39">
        <v>0</v>
      </c>
      <c r="L29" s="39">
        <v>0</v>
      </c>
      <c r="M29" s="39">
        <v>-8</v>
      </c>
      <c r="N29" s="39">
        <v>-20</v>
      </c>
      <c r="O29" s="39">
        <v>-29</v>
      </c>
      <c r="P29" s="39">
        <v>-29</v>
      </c>
      <c r="Q29" s="39">
        <v>-29</v>
      </c>
      <c r="R29" s="39">
        <v>0</v>
      </c>
      <c r="S29" s="39">
        <v>-7</v>
      </c>
      <c r="T29" s="39">
        <v>-7</v>
      </c>
      <c r="U29" s="39">
        <v>-17</v>
      </c>
      <c r="V29" s="39">
        <v>-17</v>
      </c>
      <c r="W29" s="39">
        <v>0</v>
      </c>
      <c r="X29" s="39">
        <v>0</v>
      </c>
      <c r="Y29" s="39">
        <v>0</v>
      </c>
      <c r="Z29" s="39">
        <v>0</v>
      </c>
      <c r="AA29" s="39">
        <v>0</v>
      </c>
      <c r="AB29" s="39">
        <v>0</v>
      </c>
      <c r="AC29" s="39">
        <v>0</v>
      </c>
      <c r="AD29" s="39">
        <v>0</v>
      </c>
      <c r="AE29" s="39">
        <v>0</v>
      </c>
      <c r="AF29" s="39">
        <f t="shared" si="47"/>
        <v>0</v>
      </c>
      <c r="AG29" s="39">
        <f t="shared" si="47"/>
        <v>0</v>
      </c>
      <c r="AH29" s="153"/>
      <c r="AI29" s="153"/>
    </row>
    <row r="30" spans="2:35" s="2" customFormat="1">
      <c r="B30" s="10" t="s">
        <v>233</v>
      </c>
      <c r="C30" s="39">
        <v>0</v>
      </c>
      <c r="D30" s="39">
        <v>0</v>
      </c>
      <c r="E30" s="39">
        <v>0</v>
      </c>
      <c r="F30" s="39">
        <v>0</v>
      </c>
      <c r="G30" s="39">
        <v>0</v>
      </c>
      <c r="H30" s="39">
        <v>0</v>
      </c>
      <c r="I30" s="39">
        <v>0</v>
      </c>
      <c r="J30" s="39">
        <v>0</v>
      </c>
      <c r="K30" s="39">
        <v>0</v>
      </c>
      <c r="L30" s="39">
        <v>0</v>
      </c>
      <c r="M30" s="39">
        <v>0</v>
      </c>
      <c r="N30" s="39">
        <v>0</v>
      </c>
      <c r="O30" s="39">
        <v>0</v>
      </c>
      <c r="P30" s="39">
        <v>0</v>
      </c>
      <c r="Q30" s="39">
        <v>0</v>
      </c>
      <c r="R30" s="39">
        <v>-80</v>
      </c>
      <c r="S30" s="51">
        <v>-1486</v>
      </c>
      <c r="T30" s="51">
        <v>-2695</v>
      </c>
      <c r="U30" s="51">
        <v>-3079</v>
      </c>
      <c r="V30" s="51">
        <v>-3079</v>
      </c>
      <c r="W30" s="39">
        <v>-654</v>
      </c>
      <c r="X30" s="51">
        <v>-1611</v>
      </c>
      <c r="Y30" s="51">
        <v>-2802</v>
      </c>
      <c r="Z30" s="51">
        <v>-3880</v>
      </c>
      <c r="AA30" s="51">
        <v>-3880</v>
      </c>
      <c r="AB30" s="51">
        <v>-1085</v>
      </c>
      <c r="AC30" s="51">
        <v>-2022</v>
      </c>
      <c r="AD30" s="51">
        <v>-2778</v>
      </c>
      <c r="AE30" s="51">
        <v>-4127</v>
      </c>
      <c r="AF30" s="39">
        <f t="shared" si="47"/>
        <v>-4127</v>
      </c>
      <c r="AG30" s="51">
        <v>-1019</v>
      </c>
      <c r="AH30" s="153"/>
      <c r="AI30" s="153"/>
    </row>
    <row r="31" spans="2:35" s="2" customFormat="1">
      <c r="B31" s="60" t="s">
        <v>179</v>
      </c>
      <c r="C31" s="62">
        <f t="shared" ref="C31:S31" si="48">SUM(C25:C30)</f>
        <v>-1381</v>
      </c>
      <c r="D31" s="62">
        <f t="shared" si="48"/>
        <v>-2048</v>
      </c>
      <c r="E31" s="62">
        <f t="shared" si="48"/>
        <v>-2080</v>
      </c>
      <c r="F31" s="62">
        <f t="shared" si="48"/>
        <v>-1670</v>
      </c>
      <c r="G31" s="62">
        <f t="shared" si="48"/>
        <v>-1670</v>
      </c>
      <c r="H31" s="62">
        <f t="shared" si="48"/>
        <v>279</v>
      </c>
      <c r="I31" s="62">
        <f t="shared" si="48"/>
        <v>1504</v>
      </c>
      <c r="J31" s="62">
        <f t="shared" si="48"/>
        <v>2669</v>
      </c>
      <c r="K31" s="62">
        <f t="shared" si="48"/>
        <v>4066</v>
      </c>
      <c r="L31" s="62">
        <f t="shared" si="48"/>
        <v>4066</v>
      </c>
      <c r="M31" s="62">
        <f t="shared" si="48"/>
        <v>548</v>
      </c>
      <c r="N31" s="62">
        <f t="shared" si="48"/>
        <v>414</v>
      </c>
      <c r="O31" s="62">
        <f t="shared" si="48"/>
        <v>1234</v>
      </c>
      <c r="P31" s="62">
        <f t="shared" si="48"/>
        <v>1969</v>
      </c>
      <c r="Q31" s="62">
        <f t="shared" si="48"/>
        <v>1969</v>
      </c>
      <c r="R31" s="62">
        <f t="shared" si="48"/>
        <v>468</v>
      </c>
      <c r="S31" s="62">
        <f t="shared" si="48"/>
        <v>-2090</v>
      </c>
      <c r="T31" s="62">
        <f t="shared" ref="T31:W31" si="49">SUM(T25:T30)</f>
        <v>-2816</v>
      </c>
      <c r="U31" s="62">
        <f t="shared" si="49"/>
        <v>-12322</v>
      </c>
      <c r="V31" s="62">
        <f t="shared" si="49"/>
        <v>-12322</v>
      </c>
      <c r="W31" s="62">
        <f t="shared" si="49"/>
        <v>-803</v>
      </c>
      <c r="X31" s="62">
        <f t="shared" ref="X31:Y31" si="50">SUM(X25:X30)</f>
        <v>23430</v>
      </c>
      <c r="Y31" s="62">
        <f t="shared" si="50"/>
        <v>23215</v>
      </c>
      <c r="Z31" s="62">
        <f t="shared" ref="Z31:AB31" si="51">SUM(Z25:Z30)</f>
        <v>23137</v>
      </c>
      <c r="AA31" s="62">
        <f t="shared" si="51"/>
        <v>23137</v>
      </c>
      <c r="AB31" s="62">
        <f t="shared" si="51"/>
        <v>-891</v>
      </c>
      <c r="AC31" s="62">
        <f t="shared" ref="AC31:AG31" si="52">SUM(AC25:AC30)</f>
        <v>-3874</v>
      </c>
      <c r="AD31" s="62">
        <f t="shared" si="52"/>
        <v>-7666</v>
      </c>
      <c r="AE31" s="62">
        <f t="shared" si="52"/>
        <v>-8323</v>
      </c>
      <c r="AF31" s="62">
        <f t="shared" si="52"/>
        <v>-8323</v>
      </c>
      <c r="AG31" s="62">
        <f t="shared" si="52"/>
        <v>-1336</v>
      </c>
      <c r="AH31" s="153"/>
      <c r="AI31" s="153"/>
    </row>
    <row r="32" spans="2:35" s="2" customFormat="1">
      <c r="B32" s="19" t="s">
        <v>180</v>
      </c>
      <c r="C32" s="51">
        <v>-1288</v>
      </c>
      <c r="D32" s="39">
        <v>0</v>
      </c>
      <c r="E32" s="39">
        <v>0</v>
      </c>
      <c r="F32" s="39">
        <v>0</v>
      </c>
      <c r="G32" s="39">
        <v>0</v>
      </c>
      <c r="H32" s="39">
        <v>0</v>
      </c>
      <c r="I32" s="39">
        <v>0</v>
      </c>
      <c r="J32" s="39">
        <v>0</v>
      </c>
      <c r="K32" s="39">
        <v>0</v>
      </c>
      <c r="L32" s="39">
        <v>0</v>
      </c>
      <c r="M32" s="39">
        <v>0</v>
      </c>
      <c r="N32" s="39">
        <v>0</v>
      </c>
      <c r="O32" s="39">
        <v>0</v>
      </c>
      <c r="P32" s="39">
        <v>0</v>
      </c>
      <c r="Q32" s="39">
        <v>0</v>
      </c>
      <c r="R32" s="39">
        <v>0</v>
      </c>
      <c r="S32" s="39">
        <v>0</v>
      </c>
      <c r="T32" s="39">
        <v>0</v>
      </c>
      <c r="U32" s="39">
        <v>0</v>
      </c>
      <c r="V32" s="39">
        <v>0</v>
      </c>
      <c r="W32" s="39">
        <v>0</v>
      </c>
      <c r="X32" s="39">
        <v>0</v>
      </c>
      <c r="Y32" s="39">
        <v>0</v>
      </c>
      <c r="Z32" s="39">
        <v>0</v>
      </c>
      <c r="AA32" s="39">
        <v>0</v>
      </c>
      <c r="AB32" s="39">
        <v>0</v>
      </c>
      <c r="AC32" s="39">
        <v>0</v>
      </c>
      <c r="AD32" s="39">
        <v>0</v>
      </c>
      <c r="AE32" s="39">
        <v>0</v>
      </c>
      <c r="AF32" s="39">
        <v>0</v>
      </c>
      <c r="AG32" s="39">
        <v>0</v>
      </c>
      <c r="AH32" s="153"/>
      <c r="AI32" s="153"/>
    </row>
    <row r="33" spans="2:35" s="2" customFormat="1">
      <c r="B33" s="19" t="s">
        <v>181</v>
      </c>
      <c r="C33" s="51">
        <v>-179</v>
      </c>
      <c r="D33" s="51">
        <v>-295</v>
      </c>
      <c r="E33" s="51">
        <v>-672</v>
      </c>
      <c r="F33" s="51">
        <v>-370</v>
      </c>
      <c r="G33" s="51">
        <v>-370</v>
      </c>
      <c r="H33" s="51">
        <v>-1006</v>
      </c>
      <c r="I33" s="51">
        <v>-38</v>
      </c>
      <c r="J33" s="51">
        <v>53</v>
      </c>
      <c r="K33" s="51">
        <v>732</v>
      </c>
      <c r="L33" s="51">
        <v>732</v>
      </c>
      <c r="M33" s="51">
        <v>-433</v>
      </c>
      <c r="N33" s="51">
        <v>-245</v>
      </c>
      <c r="O33" s="51">
        <v>-368</v>
      </c>
      <c r="P33" s="51">
        <v>-446</v>
      </c>
      <c r="Q33" s="51">
        <v>-446</v>
      </c>
      <c r="R33" s="51">
        <v>-285</v>
      </c>
      <c r="S33" s="51">
        <v>-760</v>
      </c>
      <c r="T33" s="51">
        <v>-1173</v>
      </c>
      <c r="U33" s="51">
        <v>-518</v>
      </c>
      <c r="V33" s="51">
        <v>-518</v>
      </c>
      <c r="W33" s="51">
        <v>45</v>
      </c>
      <c r="X33" s="51">
        <v>-696</v>
      </c>
      <c r="Y33" s="51">
        <v>-431</v>
      </c>
      <c r="Z33" s="51">
        <v>390</v>
      </c>
      <c r="AA33" s="51">
        <v>390</v>
      </c>
      <c r="AB33" s="51">
        <v>-846</v>
      </c>
      <c r="AC33" s="51">
        <v>-762</v>
      </c>
      <c r="AD33" s="51">
        <v>-292</v>
      </c>
      <c r="AE33" s="51">
        <v>-959</v>
      </c>
      <c r="AF33" s="39">
        <f t="shared" si="47"/>
        <v>-959</v>
      </c>
      <c r="AG33" s="51">
        <v>1250</v>
      </c>
      <c r="AH33" s="153"/>
      <c r="AI33" s="153"/>
    </row>
    <row r="34" spans="2:35" s="2" customFormat="1">
      <c r="B34" s="19" t="s">
        <v>252</v>
      </c>
      <c r="C34" s="51">
        <v>-2419</v>
      </c>
      <c r="D34" s="51">
        <v>-2389</v>
      </c>
      <c r="E34" s="51">
        <v>-2435</v>
      </c>
      <c r="F34" s="51">
        <v>-2224</v>
      </c>
      <c r="G34" s="51">
        <v>-2224</v>
      </c>
      <c r="H34" s="51">
        <v>-3</v>
      </c>
      <c r="I34" s="51">
        <v>56</v>
      </c>
      <c r="J34" s="51">
        <v>117</v>
      </c>
      <c r="K34" s="51">
        <v>141</v>
      </c>
      <c r="L34" s="51">
        <v>141</v>
      </c>
      <c r="M34" s="51">
        <v>15</v>
      </c>
      <c r="N34" s="51">
        <v>-8</v>
      </c>
      <c r="O34" s="51">
        <v>15</v>
      </c>
      <c r="P34" s="51">
        <v>70</v>
      </c>
      <c r="Q34" s="51">
        <v>70</v>
      </c>
      <c r="R34" s="51">
        <v>69</v>
      </c>
      <c r="S34" s="51">
        <v>139</v>
      </c>
      <c r="T34" s="51">
        <v>184</v>
      </c>
      <c r="U34" s="51">
        <v>146</v>
      </c>
      <c r="V34" s="51">
        <v>146</v>
      </c>
      <c r="W34" s="51">
        <v>29</v>
      </c>
      <c r="X34" s="51">
        <v>62</v>
      </c>
      <c r="Y34" s="51">
        <v>-14</v>
      </c>
      <c r="Z34" s="51">
        <v>62</v>
      </c>
      <c r="AA34" s="51">
        <v>62</v>
      </c>
      <c r="AB34" s="51">
        <v>18</v>
      </c>
      <c r="AC34" s="51">
        <v>-8</v>
      </c>
      <c r="AD34" s="51">
        <v>-61</v>
      </c>
      <c r="AE34" s="51">
        <v>-72</v>
      </c>
      <c r="AF34" s="39">
        <f t="shared" si="47"/>
        <v>-72</v>
      </c>
      <c r="AG34" s="51">
        <v>52</v>
      </c>
      <c r="AH34" s="153"/>
      <c r="AI34" s="153"/>
    </row>
    <row r="35" spans="2:35" s="2" customFormat="1">
      <c r="B35" s="19" t="s">
        <v>253</v>
      </c>
      <c r="C35" s="39">
        <v>0</v>
      </c>
      <c r="D35" s="51">
        <v>-76</v>
      </c>
      <c r="E35" s="51">
        <v>-174</v>
      </c>
      <c r="F35" s="51">
        <v>-151</v>
      </c>
      <c r="G35" s="51">
        <v>-151</v>
      </c>
      <c r="H35" s="39">
        <v>0</v>
      </c>
      <c r="I35" s="39">
        <v>-7</v>
      </c>
      <c r="J35" s="39">
        <v>-54</v>
      </c>
      <c r="K35" s="51">
        <v>-51</v>
      </c>
      <c r="L35" s="51">
        <v>-51</v>
      </c>
      <c r="M35" s="39">
        <v>16</v>
      </c>
      <c r="N35" s="39">
        <v>16</v>
      </c>
      <c r="O35" s="39">
        <v>27</v>
      </c>
      <c r="P35" s="39">
        <v>66</v>
      </c>
      <c r="Q35" s="39">
        <v>66</v>
      </c>
      <c r="R35" s="39">
        <v>75</v>
      </c>
      <c r="S35" s="39">
        <v>119</v>
      </c>
      <c r="T35" s="39">
        <v>134</v>
      </c>
      <c r="U35" s="39">
        <v>164</v>
      </c>
      <c r="V35" s="39">
        <v>164</v>
      </c>
      <c r="W35" s="39">
        <v>-2</v>
      </c>
      <c r="X35" s="39">
        <v>-18</v>
      </c>
      <c r="Y35" s="39">
        <v>-2</v>
      </c>
      <c r="Z35" s="39">
        <v>-10</v>
      </c>
      <c r="AA35" s="39">
        <v>-10</v>
      </c>
      <c r="AB35" s="39">
        <v>-24</v>
      </c>
      <c r="AC35" s="39">
        <v>-19</v>
      </c>
      <c r="AD35" s="39">
        <v>-44</v>
      </c>
      <c r="AE35" s="39">
        <v>-63</v>
      </c>
      <c r="AF35" s="39">
        <f t="shared" si="47"/>
        <v>-63</v>
      </c>
      <c r="AG35" s="39">
        <v>36</v>
      </c>
      <c r="AH35" s="153"/>
      <c r="AI35" s="153"/>
    </row>
    <row r="36" spans="2:35" s="2" customFormat="1">
      <c r="B36" s="46" t="s">
        <v>286</v>
      </c>
      <c r="C36" s="24">
        <f t="shared" ref="C36:S36" si="53">SUM(C31:C35)+C19</f>
        <v>-15766</v>
      </c>
      <c r="D36" s="24">
        <f t="shared" si="53"/>
        <v>-15307</v>
      </c>
      <c r="E36" s="24">
        <f t="shared" si="53"/>
        <v>-15860</v>
      </c>
      <c r="F36" s="24">
        <f t="shared" si="53"/>
        <v>-14914</v>
      </c>
      <c r="G36" s="24">
        <f t="shared" si="53"/>
        <v>-14914</v>
      </c>
      <c r="H36" s="24">
        <f t="shared" si="53"/>
        <v>-15644</v>
      </c>
      <c r="I36" s="24">
        <f t="shared" si="53"/>
        <v>-13399</v>
      </c>
      <c r="J36" s="24">
        <f t="shared" si="53"/>
        <v>-12129</v>
      </c>
      <c r="K36" s="24">
        <f t="shared" si="53"/>
        <v>-10026</v>
      </c>
      <c r="L36" s="24">
        <f t="shared" si="53"/>
        <v>-10026</v>
      </c>
      <c r="M36" s="24">
        <f t="shared" si="53"/>
        <v>-9880</v>
      </c>
      <c r="N36" s="24">
        <f t="shared" si="53"/>
        <v>-9849</v>
      </c>
      <c r="O36" s="24">
        <f t="shared" si="53"/>
        <v>-9118</v>
      </c>
      <c r="P36" s="24">
        <f t="shared" si="53"/>
        <v>-8367</v>
      </c>
      <c r="Q36" s="24">
        <f t="shared" si="53"/>
        <v>-8367</v>
      </c>
      <c r="R36" s="24">
        <f t="shared" si="53"/>
        <v>-8040</v>
      </c>
      <c r="S36" s="24">
        <f t="shared" si="53"/>
        <v>-10959</v>
      </c>
      <c r="T36" s="24">
        <f t="shared" ref="T36:U36" si="54">SUM(T31:T35)+T19</f>
        <v>-12038</v>
      </c>
      <c r="U36" s="24">
        <f t="shared" si="54"/>
        <v>-20897</v>
      </c>
      <c r="V36" s="24">
        <f t="shared" ref="V36" si="55">SUM(V31:V35)+V19</f>
        <v>-20897</v>
      </c>
      <c r="W36" s="24">
        <f t="shared" ref="W36:X36" si="56">SUM(W31:W35)+W19</f>
        <v>-21628</v>
      </c>
      <c r="X36" s="24">
        <f t="shared" si="56"/>
        <v>1881</v>
      </c>
      <c r="Y36" s="24">
        <f t="shared" ref="Y36:AB36" si="57">SUM(Y31:Y35)+Y19</f>
        <v>1871</v>
      </c>
      <c r="Z36" s="24">
        <f t="shared" si="57"/>
        <v>2682</v>
      </c>
      <c r="AA36" s="24">
        <f t="shared" si="57"/>
        <v>2682</v>
      </c>
      <c r="AB36" s="24">
        <f t="shared" si="57"/>
        <v>939</v>
      </c>
      <c r="AC36" s="24">
        <f t="shared" ref="AC36:AG36" si="58">SUM(AC31:AC35)+AC19</f>
        <v>-1981</v>
      </c>
      <c r="AD36" s="24">
        <f>SUM(AD31:AD35)+AD19</f>
        <v>-5381</v>
      </c>
      <c r="AE36" s="24">
        <f t="shared" si="58"/>
        <v>-6735</v>
      </c>
      <c r="AF36" s="24">
        <f t="shared" si="58"/>
        <v>-6735</v>
      </c>
      <c r="AG36" s="24">
        <f t="shared" si="58"/>
        <v>-6733</v>
      </c>
      <c r="AH36" s="153"/>
      <c r="AI36" s="153"/>
    </row>
    <row r="37" spans="2:35" s="2" customFormat="1">
      <c r="B37" s="67" t="s">
        <v>11</v>
      </c>
      <c r="C37" s="68">
        <f>(-C36/BR!C23)*100</f>
        <v>52.574363078564758</v>
      </c>
      <c r="D37" s="68">
        <f>(-D36/BR!D23)*100</f>
        <v>49.463581723001361</v>
      </c>
      <c r="E37" s="68">
        <f>(-E36/BR!E23)*100</f>
        <v>49.38348486735584</v>
      </c>
      <c r="F37" s="68">
        <f>(-F36/BR!F23)*100</f>
        <v>51.675271127126578</v>
      </c>
      <c r="G37" s="68">
        <f>(-G36/BR!F23)*100</f>
        <v>51.675271127126578</v>
      </c>
      <c r="H37" s="68">
        <f>(-H36/BR!G23)*100</f>
        <v>50.851644779612535</v>
      </c>
      <c r="I37" s="68">
        <f>(-I36/BR!H23)*100</f>
        <v>45.233272567686178</v>
      </c>
      <c r="J37" s="68">
        <f>(-J36/BR!I23)*100</f>
        <v>40.582862113962591</v>
      </c>
      <c r="K37" s="68">
        <f>(-K36/BR!J23)*100</f>
        <v>34.628535903015234</v>
      </c>
      <c r="L37" s="68">
        <f>(-L36/BR!J23)*100</f>
        <v>34.628535903015234</v>
      </c>
      <c r="M37" s="68">
        <f>(-M36/BR!K23)*100</f>
        <v>31.843233312921004</v>
      </c>
      <c r="N37" s="68">
        <f>(-N36/BR!L23)*100</f>
        <v>32.41935483870968</v>
      </c>
      <c r="O37" s="68">
        <f>(-O36/BR!M23)*100</f>
        <v>28.74074074074074</v>
      </c>
      <c r="P37" s="68">
        <f>(-P36/BR!N23)*100</f>
        <v>25.356082186799199</v>
      </c>
      <c r="Q37" s="68">
        <f>(-Q36/BR!N23)*100</f>
        <v>25.356082186799199</v>
      </c>
      <c r="R37" s="68">
        <f>(-R36/BR!O23)*100</f>
        <v>23.155348194228441</v>
      </c>
      <c r="S37" s="68">
        <f>(-S36/BR!P23)*100</f>
        <v>30.993523572499221</v>
      </c>
      <c r="T37" s="68">
        <f>(-T36/BR!Q23)*100</f>
        <v>32.577397705130977</v>
      </c>
      <c r="U37" s="68">
        <f>(-U36/BR!R23)*100</f>
        <v>55.743171148100721</v>
      </c>
      <c r="V37" s="68">
        <f>(-V36/BR!R23)*100</f>
        <v>55.743171148100721</v>
      </c>
      <c r="W37" s="68">
        <f>(-W36/BR!S23)*100</f>
        <v>56.061587910521268</v>
      </c>
      <c r="X37" s="68">
        <f>(-X36/BR!T23)*100</f>
        <v>-4.2370590620354101</v>
      </c>
      <c r="Y37" s="68">
        <f>(-Y36/BR!U23)*100</f>
        <v>-4.2674999429783549</v>
      </c>
      <c r="Z37" s="68">
        <f>(-Z36/BR!V23)*100</f>
        <v>-6.4274929901502631</v>
      </c>
      <c r="AA37" s="68">
        <f>(-AA36/BR!V23)*100</f>
        <v>-6.4274929901502631</v>
      </c>
      <c r="AB37" s="68">
        <f>(-AB36/BR!W23)*100</f>
        <v>-2.1800705794947994</v>
      </c>
      <c r="AC37" s="68">
        <f>(-AC36/BR!X23)*100</f>
        <v>4.8014930437733288</v>
      </c>
      <c r="AD37" s="68">
        <f>(-AD36/BR!Y23)*100</f>
        <v>13.306132542037584</v>
      </c>
      <c r="AE37" s="68">
        <f>(-AE36/BR!Z23)*100</f>
        <v>16.201977435107892</v>
      </c>
      <c r="AF37" s="68">
        <f>(-AF36/BR!Z23)*100</f>
        <v>16.201977435107892</v>
      </c>
      <c r="AG37" s="68">
        <f>(-AG36/BR!AA23)*100</f>
        <v>17.306703680855438</v>
      </c>
      <c r="AH37" s="153"/>
      <c r="AI37" s="153"/>
    </row>
    <row r="38" spans="2:35" s="2" customFormat="1">
      <c r="B38" s="67" t="s">
        <v>251</v>
      </c>
      <c r="C38" s="70">
        <v>2.5</v>
      </c>
      <c r="D38" s="69">
        <v>2.5</v>
      </c>
      <c r="E38" s="69">
        <v>2.6</v>
      </c>
      <c r="F38" s="69">
        <v>2.5</v>
      </c>
      <c r="G38" s="69">
        <v>2.5</v>
      </c>
      <c r="H38" s="69">
        <v>2.6</v>
      </c>
      <c r="I38" s="69">
        <v>2.4</v>
      </c>
      <c r="J38" s="69">
        <v>2.2000000000000002</v>
      </c>
      <c r="K38" s="69">
        <v>1.7</v>
      </c>
      <c r="L38" s="69">
        <v>1.7</v>
      </c>
      <c r="M38" s="69">
        <v>1.6</v>
      </c>
      <c r="N38" s="69">
        <v>1.5</v>
      </c>
      <c r="O38" s="69">
        <v>1.3</v>
      </c>
      <c r="P38" s="69">
        <v>1.2</v>
      </c>
      <c r="Q38" s="69">
        <v>1.2</v>
      </c>
      <c r="R38" s="69">
        <v>1.1000000000000001</v>
      </c>
      <c r="S38" s="69">
        <v>1.4</v>
      </c>
      <c r="T38" s="69">
        <v>1.5</v>
      </c>
      <c r="U38" s="69">
        <v>2.4</v>
      </c>
      <c r="V38" s="69">
        <v>2.4</v>
      </c>
      <c r="W38" s="69">
        <v>2.4</v>
      </c>
      <c r="X38" s="110">
        <v>-0.1</v>
      </c>
      <c r="Y38" s="110">
        <v>-0.1</v>
      </c>
      <c r="Z38" s="110">
        <v>-0.2</v>
      </c>
      <c r="AA38" s="110">
        <v>-0.2</v>
      </c>
      <c r="AB38" s="69">
        <v>-0.1</v>
      </c>
      <c r="AC38" s="69">
        <v>0.3</v>
      </c>
      <c r="AD38" s="69">
        <v>0.8</v>
      </c>
      <c r="AE38" s="110">
        <v>0.9</v>
      </c>
      <c r="AF38" s="110">
        <f>+AE38</f>
        <v>0.9</v>
      </c>
      <c r="AG38" s="69">
        <v>0.9</v>
      </c>
      <c r="AH38" s="153"/>
      <c r="AI38" s="153"/>
    </row>
    <row r="39" spans="2:35" s="2" customFormat="1" ht="15.75">
      <c r="B39" s="142" t="s">
        <v>189</v>
      </c>
      <c r="C39" s="66"/>
      <c r="D39" s="66"/>
      <c r="E39" s="66"/>
      <c r="F39" s="66"/>
      <c r="G39" s="66"/>
      <c r="H39" s="66"/>
      <c r="I39" s="71"/>
      <c r="J39" s="71"/>
      <c r="K39" s="71"/>
      <c r="L39" s="80"/>
      <c r="M39" s="71"/>
      <c r="N39" s="71"/>
      <c r="O39" s="71"/>
      <c r="P39" s="71"/>
      <c r="Q39" s="71"/>
      <c r="R39" s="71"/>
      <c r="S39" s="71"/>
      <c r="V39" s="71"/>
      <c r="W39" s="71"/>
      <c r="X39" s="71"/>
      <c r="Y39" s="135"/>
      <c r="Z39" s="71"/>
      <c r="AA39" s="71"/>
      <c r="AB39" s="135"/>
      <c r="AC39" s="136"/>
      <c r="AD39" s="136"/>
      <c r="AE39" s="71"/>
      <c r="AF39" s="71"/>
      <c r="AG39" s="135"/>
      <c r="AH39" s="153"/>
      <c r="AI39" s="153"/>
    </row>
    <row r="40" spans="2:35" s="2" customFormat="1">
      <c r="B40" s="151" t="s">
        <v>302</v>
      </c>
      <c r="E40" s="61"/>
      <c r="F40" s="61"/>
      <c r="G40" s="61"/>
      <c r="H40" s="61"/>
      <c r="I40" s="71"/>
      <c r="J40" s="80"/>
      <c r="K40" s="71"/>
      <c r="L40" s="80"/>
      <c r="M40" s="80"/>
      <c r="N40" s="71"/>
      <c r="O40" s="71"/>
      <c r="P40" s="71"/>
      <c r="Q40" s="71"/>
      <c r="R40" s="71"/>
      <c r="S40" s="71"/>
      <c r="V40" s="71"/>
      <c r="W40" s="71"/>
      <c r="X40" s="71"/>
      <c r="Y40" s="71"/>
      <c r="Z40" s="71"/>
      <c r="AA40" s="71"/>
      <c r="AB40" s="71"/>
      <c r="AC40" s="71"/>
      <c r="AD40" s="71"/>
      <c r="AE40" s="71"/>
      <c r="AF40" s="71"/>
      <c r="AG40" s="71"/>
      <c r="AH40" s="153"/>
      <c r="AI40" s="153"/>
    </row>
    <row r="41" spans="2:35" s="2" customFormat="1">
      <c r="B41" s="142" t="s">
        <v>303</v>
      </c>
      <c r="G41" s="98"/>
      <c r="H41" s="98"/>
      <c r="I41" s="98"/>
      <c r="J41" s="98"/>
      <c r="K41" s="98"/>
      <c r="L41" s="98"/>
      <c r="M41" s="98"/>
      <c r="N41" s="98"/>
      <c r="O41" s="98"/>
      <c r="P41" s="98"/>
      <c r="Q41" s="98"/>
      <c r="R41" s="98"/>
      <c r="S41" s="98"/>
      <c r="V41" s="98"/>
      <c r="W41" s="98"/>
      <c r="X41" s="98"/>
      <c r="Y41" s="98"/>
      <c r="Z41" s="98"/>
      <c r="AA41" s="98"/>
      <c r="AB41" s="98"/>
      <c r="AC41" s="98"/>
      <c r="AD41" s="98"/>
      <c r="AE41" s="98"/>
      <c r="AF41" s="98"/>
      <c r="AG41" s="98"/>
      <c r="AH41" s="153"/>
      <c r="AI41" s="153"/>
    </row>
    <row r="42" spans="2:35" s="2" customFormat="1">
      <c r="C42" s="97"/>
      <c r="D42" s="97"/>
      <c r="E42" s="97"/>
      <c r="F42" s="97"/>
      <c r="G42" s="97"/>
      <c r="H42" s="97"/>
      <c r="I42" s="97"/>
      <c r="J42" s="97"/>
      <c r="K42" s="97"/>
      <c r="L42" s="97"/>
      <c r="M42" s="97"/>
      <c r="N42" s="97"/>
      <c r="O42" s="97"/>
      <c r="P42" s="97"/>
      <c r="Q42" s="97"/>
      <c r="R42" s="97"/>
      <c r="S42" s="97"/>
      <c r="V42" s="97"/>
      <c r="W42" s="97"/>
      <c r="X42" s="97"/>
      <c r="Y42" s="97"/>
      <c r="Z42" s="97"/>
      <c r="AA42" s="97"/>
      <c r="AB42" s="97"/>
      <c r="AC42" s="97"/>
      <c r="AD42" s="97"/>
      <c r="AE42" s="97"/>
      <c r="AF42" s="97"/>
      <c r="AG42" s="97"/>
      <c r="AH42" s="153"/>
      <c r="AI42" s="153"/>
    </row>
    <row r="43" spans="2:35" s="2" customFormat="1">
      <c r="Q43" s="79"/>
      <c r="V43" s="79"/>
      <c r="AA43" s="79"/>
      <c r="AF43" s="79"/>
      <c r="AH43" s="153"/>
      <c r="AI43" s="153"/>
    </row>
    <row r="44" spans="2:35">
      <c r="B44" s="4" t="s">
        <v>10</v>
      </c>
      <c r="C44" s="7" t="s">
        <v>164</v>
      </c>
      <c r="D44" s="7" t="s">
        <v>176</v>
      </c>
      <c r="E44" s="7" t="s">
        <v>183</v>
      </c>
      <c r="F44" s="7" t="s">
        <v>185</v>
      </c>
      <c r="G44" s="7" t="s">
        <v>186</v>
      </c>
      <c r="H44" s="7" t="s">
        <v>188</v>
      </c>
      <c r="I44" s="7" t="s">
        <v>194</v>
      </c>
      <c r="J44" s="7" t="s">
        <v>196</v>
      </c>
      <c r="K44" s="7" t="s">
        <v>199</v>
      </c>
      <c r="L44" s="7" t="s">
        <v>200</v>
      </c>
      <c r="M44" s="7" t="s">
        <v>202</v>
      </c>
      <c r="N44" s="7" t="s">
        <v>211</v>
      </c>
      <c r="O44" s="7" t="s">
        <v>216</v>
      </c>
      <c r="P44" s="7" t="s">
        <v>218</v>
      </c>
      <c r="Q44" s="7" t="s">
        <v>219</v>
      </c>
      <c r="R44" s="7" t="s">
        <v>222</v>
      </c>
      <c r="S44" s="7" t="s">
        <v>235</v>
      </c>
      <c r="T44" s="7" t="s">
        <v>238</v>
      </c>
      <c r="U44" s="7" t="s">
        <v>240</v>
      </c>
      <c r="V44" s="7" t="s">
        <v>241</v>
      </c>
      <c r="W44" s="7" t="s">
        <v>243</v>
      </c>
      <c r="X44" s="7" t="s">
        <v>245</v>
      </c>
      <c r="Y44" s="7" t="s">
        <v>254</v>
      </c>
      <c r="Z44" s="7" t="str">
        <f>Z3</f>
        <v>Kv4 2023</v>
      </c>
      <c r="AA44" s="7" t="s">
        <v>258</v>
      </c>
      <c r="AB44" s="7" t="s">
        <v>259</v>
      </c>
      <c r="AC44" s="7" t="str">
        <f>+AC3</f>
        <v>Kv2 2024</v>
      </c>
      <c r="AD44" s="7" t="str">
        <f>+AD3</f>
        <v>Kv3 2024</v>
      </c>
      <c r="AE44" s="7" t="str">
        <f>AE3</f>
        <v>Kv4 2024</v>
      </c>
      <c r="AF44" s="7" t="s">
        <v>289</v>
      </c>
      <c r="AG44" s="7" t="str">
        <f>+AG$3</f>
        <v>Kv1 2025</v>
      </c>
      <c r="AH44" s="153"/>
      <c r="AI44" s="153"/>
    </row>
    <row r="45" spans="2:35" s="2" customFormat="1">
      <c r="B45" s="10" t="s">
        <v>101</v>
      </c>
      <c r="C45" s="22">
        <v>2368</v>
      </c>
      <c r="D45" s="22">
        <v>2435</v>
      </c>
      <c r="E45" s="22">
        <v>2891</v>
      </c>
      <c r="F45" s="22">
        <f>C14+D14+E14+F14</f>
        <v>3205</v>
      </c>
      <c r="G45" s="22">
        <f>G14</f>
        <v>3205</v>
      </c>
      <c r="H45" s="22">
        <f>D14+E14+F14+H14</f>
        <v>3557</v>
      </c>
      <c r="I45" s="22">
        <f>E14+F14+H14+I14</f>
        <v>3887</v>
      </c>
      <c r="J45" s="22">
        <f>F14+H14+I14+J14</f>
        <v>3723</v>
      </c>
      <c r="K45" s="22">
        <f>H14+I14+J14+K14</f>
        <v>3855</v>
      </c>
      <c r="L45" s="22">
        <f>L14</f>
        <v>3855</v>
      </c>
      <c r="M45" s="22">
        <f>I14+J14+K14+M14</f>
        <v>3775</v>
      </c>
      <c r="N45" s="22">
        <f>J14+K14+M14+N14</f>
        <v>3567</v>
      </c>
      <c r="O45" s="22">
        <f>K14+M14+N14+O14</f>
        <v>3653</v>
      </c>
      <c r="P45" s="22">
        <f>M14+N14+O14+P14</f>
        <v>3299</v>
      </c>
      <c r="Q45" s="22">
        <f>Q14</f>
        <v>3299</v>
      </c>
      <c r="R45" s="22">
        <f>N14+O14+P14+R14</f>
        <v>3143</v>
      </c>
      <c r="S45" s="22">
        <f>O14+P14+R14+S14</f>
        <v>3077</v>
      </c>
      <c r="T45" s="22">
        <f>P14+R14+S14+T14</f>
        <v>2991</v>
      </c>
      <c r="U45" s="22">
        <f>R14+S14+T14+U14</f>
        <v>3732</v>
      </c>
      <c r="V45" s="22">
        <f>V14</f>
        <v>3732</v>
      </c>
      <c r="W45" s="22">
        <f>S14+T14+U14+W14</f>
        <v>3953</v>
      </c>
      <c r="X45" s="22">
        <f>T14+U14+W14+X14</f>
        <v>4740</v>
      </c>
      <c r="Y45" s="22">
        <f>U14+W14+X14+Y14</f>
        <v>5420</v>
      </c>
      <c r="Z45" s="22">
        <f>W14+X14+Y14+Z14</f>
        <v>5063</v>
      </c>
      <c r="AA45" s="22">
        <f>AA14</f>
        <v>5063</v>
      </c>
      <c r="AB45" s="22">
        <f>X14+Y14+Z14+AB14</f>
        <v>5232</v>
      </c>
      <c r="AC45" s="106">
        <f>Y14+Z14+AB14+AC14</f>
        <v>4837</v>
      </c>
      <c r="AD45" s="106">
        <f>Z14+AC14+AD14+AB14</f>
        <v>4651</v>
      </c>
      <c r="AE45" s="22">
        <f>AB14+AC14+AD14+AE14</f>
        <v>5011</v>
      </c>
      <c r="AF45" s="22">
        <f>+AE45</f>
        <v>5011</v>
      </c>
      <c r="AG45" s="22">
        <f>AC14+AD14+AE14+AG14</f>
        <v>5114</v>
      </c>
      <c r="AH45" s="153"/>
      <c r="AI45" s="153"/>
    </row>
    <row r="46" spans="2:35" s="2" customFormat="1">
      <c r="B46" s="19" t="s">
        <v>102</v>
      </c>
      <c r="C46" s="22">
        <f>RR!C89</f>
        <v>3392</v>
      </c>
      <c r="D46" s="22">
        <f>RR!D89</f>
        <v>3477</v>
      </c>
      <c r="E46" s="22">
        <f>RR!E89</f>
        <v>3535</v>
      </c>
      <c r="F46" s="22">
        <f>RR!F89</f>
        <v>3689</v>
      </c>
      <c r="G46" s="22">
        <f>RR!G89</f>
        <v>3689</v>
      </c>
      <c r="H46" s="22">
        <f>RR!H89</f>
        <v>3611</v>
      </c>
      <c r="I46" s="22">
        <f>RR!I89</f>
        <v>3261</v>
      </c>
      <c r="J46" s="22">
        <f>RR!J89</f>
        <v>3043</v>
      </c>
      <c r="K46" s="22">
        <f>RR!K89</f>
        <v>3006</v>
      </c>
      <c r="L46" s="22">
        <f>RR!L89</f>
        <v>3006</v>
      </c>
      <c r="M46" s="22">
        <f>RR!M89</f>
        <v>3123</v>
      </c>
      <c r="N46" s="22">
        <f>RR!N89</f>
        <v>3547</v>
      </c>
      <c r="O46" s="22">
        <f>RR!O89</f>
        <v>3820</v>
      </c>
      <c r="P46" s="22">
        <f>RR!P89</f>
        <v>3903</v>
      </c>
      <c r="Q46" s="22">
        <f>RR!Q89</f>
        <v>3903</v>
      </c>
      <c r="R46" s="22">
        <f>RR!R89</f>
        <v>4151</v>
      </c>
      <c r="S46" s="22">
        <f>RR!S89</f>
        <v>4434</v>
      </c>
      <c r="T46" s="22">
        <f>RR!T89</f>
        <v>4755</v>
      </c>
      <c r="U46" s="22">
        <f>RR!U89</f>
        <v>5066</v>
      </c>
      <c r="V46" s="22">
        <f>RR!V89</f>
        <v>5066</v>
      </c>
      <c r="W46" s="22">
        <f>RR!W89</f>
        <v>5247</v>
      </c>
      <c r="X46" s="22">
        <f>RR!X89</f>
        <v>5370</v>
      </c>
      <c r="Y46" s="22">
        <f>RR!Y89</f>
        <v>5453</v>
      </c>
      <c r="Z46" s="22">
        <f>RR!Z89</f>
        <v>5518</v>
      </c>
      <c r="AA46" s="22">
        <f>RR!AA89</f>
        <v>5518</v>
      </c>
      <c r="AB46" s="22">
        <f>RR!AB89</f>
        <v>5486</v>
      </c>
      <c r="AC46" s="22">
        <f>RR!AC89</f>
        <v>5527</v>
      </c>
      <c r="AD46" s="22">
        <f>RR!AD89</f>
        <v>5486</v>
      </c>
      <c r="AE46" s="22">
        <f>RR!AE89</f>
        <v>5602</v>
      </c>
      <c r="AF46" s="22">
        <f>+AE46</f>
        <v>5602</v>
      </c>
      <c r="AG46" s="22">
        <f>RR!AG89</f>
        <v>5685</v>
      </c>
      <c r="AH46" s="153"/>
      <c r="AI46" s="153"/>
    </row>
    <row r="47" spans="2:35" s="2" customFormat="1">
      <c r="B47" s="46" t="s">
        <v>10</v>
      </c>
      <c r="C47" s="47">
        <f t="shared" ref="C47:S47" si="59">C45/C46</f>
        <v>0.69811320754716977</v>
      </c>
      <c r="D47" s="47">
        <f t="shared" si="59"/>
        <v>0.70031636468219727</v>
      </c>
      <c r="E47" s="47">
        <f t="shared" si="59"/>
        <v>0.81782178217821777</v>
      </c>
      <c r="F47" s="47">
        <f t="shared" si="59"/>
        <v>0.8687991325562483</v>
      </c>
      <c r="G47" s="47">
        <f t="shared" si="59"/>
        <v>0.8687991325562483</v>
      </c>
      <c r="H47" s="47">
        <f t="shared" si="59"/>
        <v>0.98504569371365269</v>
      </c>
      <c r="I47" s="47">
        <f t="shared" si="59"/>
        <v>1.1919656547071451</v>
      </c>
      <c r="J47" s="47">
        <f t="shared" si="59"/>
        <v>1.223463687150838</v>
      </c>
      <c r="K47" s="47">
        <f t="shared" si="59"/>
        <v>1.282435129740519</v>
      </c>
      <c r="L47" s="47">
        <f t="shared" si="59"/>
        <v>1.282435129740519</v>
      </c>
      <c r="M47" s="47">
        <f t="shared" si="59"/>
        <v>1.2087736151136728</v>
      </c>
      <c r="N47" s="47">
        <f t="shared" si="59"/>
        <v>1.0056385678037778</v>
      </c>
      <c r="O47" s="47">
        <f t="shared" si="59"/>
        <v>0.95628272251308899</v>
      </c>
      <c r="P47" s="47">
        <f t="shared" si="59"/>
        <v>0.84524724570842946</v>
      </c>
      <c r="Q47" s="47">
        <f t="shared" si="59"/>
        <v>0.84524724570842946</v>
      </c>
      <c r="R47" s="47">
        <f t="shared" si="59"/>
        <v>0.75716694772344018</v>
      </c>
      <c r="S47" s="47">
        <f t="shared" si="59"/>
        <v>0.69395579612088409</v>
      </c>
      <c r="T47" s="47">
        <f t="shared" ref="T47:W47" si="60">T45/T46</f>
        <v>0.6290220820189274</v>
      </c>
      <c r="U47" s="47">
        <f t="shared" si="60"/>
        <v>0.73667587840505333</v>
      </c>
      <c r="V47" s="47">
        <f t="shared" si="60"/>
        <v>0.73667587840505333</v>
      </c>
      <c r="W47" s="47">
        <f t="shared" si="60"/>
        <v>0.75338288545835719</v>
      </c>
      <c r="X47" s="47">
        <f t="shared" ref="X47:Y47" si="61">X45/X46</f>
        <v>0.88268156424581001</v>
      </c>
      <c r="Y47" s="47">
        <f t="shared" si="61"/>
        <v>0.99394828534751511</v>
      </c>
      <c r="Z47" s="47">
        <f t="shared" ref="Z47:AB47" si="62">Z45/Z46</f>
        <v>0.91754258789416454</v>
      </c>
      <c r="AA47" s="47">
        <f t="shared" si="62"/>
        <v>0.91754258789416454</v>
      </c>
      <c r="AB47" s="47">
        <f t="shared" si="62"/>
        <v>0.95370032810791106</v>
      </c>
      <c r="AC47" s="47">
        <f t="shared" ref="AC47:AG47" si="63">AC45/AC46</f>
        <v>0.87515831373258546</v>
      </c>
      <c r="AD47" s="47">
        <f t="shared" si="63"/>
        <v>0.84779438570907761</v>
      </c>
      <c r="AE47" s="47">
        <f t="shared" si="63"/>
        <v>0.89450196358443412</v>
      </c>
      <c r="AF47" s="47">
        <f t="shared" si="63"/>
        <v>0.89450196358443412</v>
      </c>
      <c r="AG47" s="47">
        <f t="shared" si="63"/>
        <v>0.89956024626209319</v>
      </c>
      <c r="AH47" s="153"/>
      <c r="AI47" s="153"/>
    </row>
    <row r="48" spans="2:35" s="2" customFormat="1">
      <c r="AH48" s="153"/>
      <c r="AI48" s="153"/>
    </row>
    <row r="49" spans="2:35" s="2" customFormat="1">
      <c r="Q49" s="79"/>
      <c r="V49" s="79"/>
      <c r="AA49" s="79"/>
      <c r="AF49" s="79"/>
      <c r="AH49" s="153"/>
      <c r="AI49" s="153"/>
    </row>
    <row r="50" spans="2:35">
      <c r="B50" s="4" t="s">
        <v>24</v>
      </c>
      <c r="C50" s="7" t="s">
        <v>164</v>
      </c>
      <c r="D50" s="7" t="s">
        <v>176</v>
      </c>
      <c r="E50" s="7" t="s">
        <v>183</v>
      </c>
      <c r="F50" s="7" t="s">
        <v>185</v>
      </c>
      <c r="G50" s="7" t="s">
        <v>186</v>
      </c>
      <c r="H50" s="7" t="s">
        <v>188</v>
      </c>
      <c r="I50" s="7" t="s">
        <v>194</v>
      </c>
      <c r="J50" s="7" t="s">
        <v>196</v>
      </c>
      <c r="K50" s="7" t="s">
        <v>199</v>
      </c>
      <c r="L50" s="7" t="s">
        <v>200</v>
      </c>
      <c r="M50" s="7" t="s">
        <v>202</v>
      </c>
      <c r="N50" s="7" t="s">
        <v>211</v>
      </c>
      <c r="O50" s="7" t="s">
        <v>216</v>
      </c>
      <c r="P50" s="7" t="s">
        <v>218</v>
      </c>
      <c r="Q50" s="7" t="s">
        <v>219</v>
      </c>
      <c r="R50" s="7" t="s">
        <v>222</v>
      </c>
      <c r="S50" s="7" t="s">
        <v>235</v>
      </c>
      <c r="T50" s="7" t="s">
        <v>238</v>
      </c>
      <c r="U50" s="7" t="s">
        <v>240</v>
      </c>
      <c r="V50" s="7" t="s">
        <v>241</v>
      </c>
      <c r="W50" s="7" t="s">
        <v>243</v>
      </c>
      <c r="X50" s="7" t="s">
        <v>245</v>
      </c>
      <c r="Y50" s="7" t="s">
        <v>254</v>
      </c>
      <c r="Z50" s="7" t="str">
        <f>Z3</f>
        <v>Kv4 2023</v>
      </c>
      <c r="AA50" s="7" t="s">
        <v>258</v>
      </c>
      <c r="AB50" s="7" t="s">
        <v>259</v>
      </c>
      <c r="AC50" s="7" t="str">
        <f>+AC44</f>
        <v>Kv2 2024</v>
      </c>
      <c r="AD50" s="7" t="str">
        <f>+AD44</f>
        <v>Kv3 2024</v>
      </c>
      <c r="AE50" s="7" t="str">
        <f>AE3</f>
        <v>Kv4 2024</v>
      </c>
      <c r="AF50" s="7" t="s">
        <v>289</v>
      </c>
      <c r="AG50" s="7" t="str">
        <f>+AG$3</f>
        <v>Kv1 2025</v>
      </c>
      <c r="AH50" s="153"/>
      <c r="AI50" s="153"/>
    </row>
    <row r="51" spans="2:35" s="2" customFormat="1">
      <c r="B51" s="10" t="s">
        <v>103</v>
      </c>
      <c r="C51" s="51">
        <v>2215</v>
      </c>
      <c r="D51" s="51">
        <v>2113</v>
      </c>
      <c r="E51" s="51">
        <v>2648</v>
      </c>
      <c r="F51" s="51">
        <f>F25</f>
        <v>2684</v>
      </c>
      <c r="G51" s="22">
        <f>G25</f>
        <v>2684</v>
      </c>
      <c r="H51" s="51">
        <f>(G25-C25)+H25</f>
        <v>3221</v>
      </c>
      <c r="I51" s="51">
        <f>(G25-D25)+I25</f>
        <v>3690</v>
      </c>
      <c r="J51" s="51">
        <f>(F25-E25)+J25</f>
        <v>3754</v>
      </c>
      <c r="K51" s="51">
        <f>(F25-F25)+K25</f>
        <v>3916</v>
      </c>
      <c r="L51" s="22">
        <f>L25</f>
        <v>3916</v>
      </c>
      <c r="M51" s="51">
        <f>(L25-H25)+M25</f>
        <v>4386</v>
      </c>
      <c r="N51" s="51">
        <f>(L25-I25)+N25</f>
        <v>4382</v>
      </c>
      <c r="O51" s="51">
        <f>(K25-J25)+O25</f>
        <v>4053</v>
      </c>
      <c r="P51" s="51">
        <f>(K25-K25)+P25</f>
        <v>3310</v>
      </c>
      <c r="Q51" s="22">
        <f>Q25</f>
        <v>3310</v>
      </c>
      <c r="R51" s="51">
        <f>(Q25-M25)+R25</f>
        <v>2985</v>
      </c>
      <c r="S51" s="51">
        <f>(Q25-N25)+S25</f>
        <v>2473</v>
      </c>
      <c r="T51" s="51">
        <f>(P25-O25)+T25</f>
        <v>2136</v>
      </c>
      <c r="U51" s="51">
        <f>(Q25-P25)+U25</f>
        <v>3305</v>
      </c>
      <c r="V51" s="22">
        <f>V25</f>
        <v>3305</v>
      </c>
      <c r="W51" s="51">
        <f>(V25-R25)+W25</f>
        <v>2801</v>
      </c>
      <c r="X51" s="51">
        <f>(V25-S25)+X25</f>
        <v>2876</v>
      </c>
      <c r="Y51" s="51">
        <f>(V25-T25)+Y25</f>
        <v>3452</v>
      </c>
      <c r="Z51" s="51">
        <f>(V25-U25)+Z25</f>
        <v>2526</v>
      </c>
      <c r="AA51" s="22">
        <f>AA25</f>
        <v>2526</v>
      </c>
      <c r="AB51" s="51">
        <f>(AA25-W25)+AB25</f>
        <v>2824</v>
      </c>
      <c r="AC51" s="51">
        <f>(AA25-X25)+AC25</f>
        <v>2836</v>
      </c>
      <c r="AD51" s="51">
        <f>(AA25-Y25)+AD25</f>
        <v>2731</v>
      </c>
      <c r="AE51" s="51">
        <f>+AE25</f>
        <v>2917</v>
      </c>
      <c r="AF51" s="22">
        <f>+AE51</f>
        <v>2917</v>
      </c>
      <c r="AG51" s="51">
        <f>(AF25-AB25)+AG25</f>
        <v>3038</v>
      </c>
      <c r="AH51" s="153"/>
      <c r="AI51" s="153"/>
    </row>
    <row r="52" spans="2:35" s="2" customFormat="1">
      <c r="B52" s="10" t="s">
        <v>268</v>
      </c>
      <c r="C52" s="22">
        <v>271071783</v>
      </c>
      <c r="D52" s="22">
        <v>271071783</v>
      </c>
      <c r="E52" s="22">
        <v>271071783</v>
      </c>
      <c r="F52" s="22">
        <v>271071783</v>
      </c>
      <c r="G52" s="22">
        <v>271071783</v>
      </c>
      <c r="H52" s="22">
        <v>271071783</v>
      </c>
      <c r="I52" s="22">
        <v>271071783</v>
      </c>
      <c r="J52" s="22">
        <v>271071783</v>
      </c>
      <c r="K52" s="22">
        <v>271071783</v>
      </c>
      <c r="L52" s="22">
        <v>271071783</v>
      </c>
      <c r="M52" s="22">
        <v>271071783</v>
      </c>
      <c r="N52" s="22">
        <v>271071783</v>
      </c>
      <c r="O52" s="22">
        <v>271071783</v>
      </c>
      <c r="P52" s="22">
        <v>271071783</v>
      </c>
      <c r="Q52" s="22">
        <v>271071783</v>
      </c>
      <c r="R52" s="22">
        <v>271071253</v>
      </c>
      <c r="S52" s="22">
        <v>269985191</v>
      </c>
      <c r="T52" s="22">
        <v>267202271</v>
      </c>
      <c r="U52" s="22">
        <v>263885220</v>
      </c>
      <c r="V52" s="22">
        <v>263885220</v>
      </c>
      <c r="W52" s="22">
        <v>260044720</v>
      </c>
      <c r="X52" s="22">
        <v>256538341</v>
      </c>
      <c r="Y52" s="22">
        <v>253668430</v>
      </c>
      <c r="Z52" s="22">
        <v>250349374</v>
      </c>
      <c r="AA52" s="22">
        <v>250349374</v>
      </c>
      <c r="AB52" s="22">
        <v>246752073</v>
      </c>
      <c r="AC52" s="22">
        <v>243261237</v>
      </c>
      <c r="AD52" s="22">
        <v>240304515</v>
      </c>
      <c r="AE52" s="22">
        <v>237573828</v>
      </c>
      <c r="AF52" s="22">
        <v>237573828</v>
      </c>
      <c r="AG52" s="22">
        <v>230773406</v>
      </c>
      <c r="AH52" s="153"/>
      <c r="AI52" s="153"/>
    </row>
    <row r="53" spans="2:35" s="2" customFormat="1">
      <c r="B53" s="46" t="s">
        <v>24</v>
      </c>
      <c r="C53" s="48">
        <f t="shared" ref="C53:S53" si="64">C51*1000000/C52</f>
        <v>8.1712673133521978</v>
      </c>
      <c r="D53" s="48">
        <f t="shared" si="64"/>
        <v>7.794983220367131</v>
      </c>
      <c r="E53" s="48">
        <f t="shared" si="64"/>
        <v>9.7686301786711596</v>
      </c>
      <c r="F53" s="48">
        <f t="shared" si="64"/>
        <v>9.9014363291364784</v>
      </c>
      <c r="G53" s="48">
        <f t="shared" si="64"/>
        <v>9.9014363291364784</v>
      </c>
      <c r="H53" s="48">
        <f t="shared" si="64"/>
        <v>11.882461406910803</v>
      </c>
      <c r="I53" s="48">
        <f t="shared" si="64"/>
        <v>13.612630422695084</v>
      </c>
      <c r="J53" s="48">
        <f t="shared" si="64"/>
        <v>13.848730245744537</v>
      </c>
      <c r="K53" s="48">
        <f t="shared" si="64"/>
        <v>14.446357922838468</v>
      </c>
      <c r="L53" s="48">
        <f t="shared" si="64"/>
        <v>14.446357922838468</v>
      </c>
      <c r="M53" s="48">
        <f t="shared" si="64"/>
        <v>16.180215998357895</v>
      </c>
      <c r="N53" s="48">
        <f t="shared" si="64"/>
        <v>16.165459759417306</v>
      </c>
      <c r="O53" s="48">
        <f t="shared" si="64"/>
        <v>14.951759106553705</v>
      </c>
      <c r="P53" s="48">
        <f t="shared" si="64"/>
        <v>12.210787723338951</v>
      </c>
      <c r="Q53" s="48">
        <f t="shared" si="64"/>
        <v>12.210787723338951</v>
      </c>
      <c r="R53" s="48">
        <f t="shared" si="64"/>
        <v>11.011864839832352</v>
      </c>
      <c r="S53" s="48">
        <f t="shared" si="64"/>
        <v>9.1597616552235266</v>
      </c>
      <c r="T53" s="48">
        <f t="shared" ref="T53:W53" si="65">T51*1000000/T52</f>
        <v>7.9939440335071108</v>
      </c>
      <c r="U53" s="48">
        <f t="shared" si="65"/>
        <v>12.524384654813179</v>
      </c>
      <c r="V53" s="48">
        <f t="shared" si="65"/>
        <v>12.524384654813179</v>
      </c>
      <c r="W53" s="48">
        <f t="shared" si="65"/>
        <v>10.771224272502053</v>
      </c>
      <c r="X53" s="48">
        <f t="shared" ref="X53:Y53" si="66">X51*1000000/X52</f>
        <v>11.210799870261887</v>
      </c>
      <c r="Y53" s="48">
        <f t="shared" si="66"/>
        <v>13.608315390291176</v>
      </c>
      <c r="Z53" s="102">
        <f t="shared" ref="Z53:AB53" si="67">Z51*1000000/Z52</f>
        <v>10.089899405939796</v>
      </c>
      <c r="AA53" s="48">
        <f t="shared" si="67"/>
        <v>10.089899405939796</v>
      </c>
      <c r="AB53" s="48">
        <f t="shared" si="67"/>
        <v>11.444686018909353</v>
      </c>
      <c r="AC53" s="48">
        <f t="shared" ref="AC53:AG53" si="68">AC51*1000000/AC52</f>
        <v>11.658248699935699</v>
      </c>
      <c r="AD53" s="48">
        <f t="shared" si="68"/>
        <v>11.364746933697853</v>
      </c>
      <c r="AE53" s="102">
        <f t="shared" si="68"/>
        <v>12.278288499017661</v>
      </c>
      <c r="AF53" s="48">
        <f t="shared" si="68"/>
        <v>12.278288499017661</v>
      </c>
      <c r="AG53" s="48">
        <f t="shared" si="68"/>
        <v>13.164428487050193</v>
      </c>
      <c r="AH53" s="153"/>
      <c r="AI53" s="153"/>
    </row>
    <row r="54" spans="2:35" s="2" customFormat="1">
      <c r="B54" s="35"/>
      <c r="C54" s="35"/>
      <c r="D54" s="35"/>
      <c r="E54" s="35"/>
      <c r="F54" s="35"/>
      <c r="G54" s="35"/>
      <c r="H54" s="35"/>
      <c r="I54" s="35"/>
      <c r="J54" s="35"/>
      <c r="K54" s="35"/>
      <c r="L54" s="35"/>
      <c r="M54" s="35"/>
      <c r="N54" s="35"/>
      <c r="O54" s="35"/>
      <c r="P54" s="35"/>
      <c r="Q54" s="35"/>
      <c r="R54" s="35"/>
      <c r="S54" s="35"/>
      <c r="V54" s="35"/>
      <c r="W54" s="35"/>
      <c r="X54" s="35"/>
      <c r="Y54" s="35"/>
      <c r="Z54" s="35"/>
      <c r="AA54" s="35"/>
      <c r="AB54" s="35"/>
      <c r="AC54" s="35"/>
      <c r="AD54" s="35"/>
      <c r="AE54" s="35"/>
      <c r="AF54" s="35"/>
      <c r="AG54" s="35"/>
      <c r="AH54" s="153"/>
      <c r="AI54" s="153"/>
    </row>
    <row r="55" spans="2:35" s="2" customFormat="1">
      <c r="Q55" s="79"/>
      <c r="V55" s="79"/>
      <c r="AA55" s="79"/>
      <c r="AF55" s="79"/>
      <c r="AH55" s="153"/>
      <c r="AI55" s="153"/>
    </row>
    <row r="56" spans="2:35">
      <c r="B56" s="4" t="s">
        <v>30</v>
      </c>
      <c r="C56" s="7" t="s">
        <v>164</v>
      </c>
      <c r="D56" s="7" t="s">
        <v>176</v>
      </c>
      <c r="E56" s="7" t="s">
        <v>183</v>
      </c>
      <c r="F56" s="7" t="s">
        <v>185</v>
      </c>
      <c r="G56" s="7" t="s">
        <v>186</v>
      </c>
      <c r="H56" s="7" t="s">
        <v>188</v>
      </c>
      <c r="I56" s="7" t="s">
        <v>194</v>
      </c>
      <c r="J56" s="7" t="s">
        <v>196</v>
      </c>
      <c r="K56" s="7" t="s">
        <v>199</v>
      </c>
      <c r="L56" s="7" t="s">
        <v>200</v>
      </c>
      <c r="M56" s="7" t="s">
        <v>202</v>
      </c>
      <c r="N56" s="7" t="s">
        <v>211</v>
      </c>
      <c r="O56" s="7" t="s">
        <v>216</v>
      </c>
      <c r="P56" s="7" t="s">
        <v>218</v>
      </c>
      <c r="Q56" s="7" t="s">
        <v>219</v>
      </c>
      <c r="R56" s="7" t="s">
        <v>222</v>
      </c>
      <c r="S56" s="7" t="s">
        <v>235</v>
      </c>
      <c r="T56" s="7" t="s">
        <v>238</v>
      </c>
      <c r="U56" s="7" t="s">
        <v>240</v>
      </c>
      <c r="V56" s="7" t="s">
        <v>241</v>
      </c>
      <c r="W56" s="7" t="s">
        <v>243</v>
      </c>
      <c r="X56" s="7" t="s">
        <v>245</v>
      </c>
      <c r="Y56" s="7" t="s">
        <v>254</v>
      </c>
      <c r="Z56" s="7" t="str">
        <f>Z3</f>
        <v>Kv4 2023</v>
      </c>
      <c r="AA56" s="7" t="s">
        <v>258</v>
      </c>
      <c r="AB56" s="7" t="s">
        <v>259</v>
      </c>
      <c r="AC56" s="7" t="str">
        <f>+AC50</f>
        <v>Kv2 2024</v>
      </c>
      <c r="AD56" s="7" t="str">
        <f>+AD50</f>
        <v>Kv3 2024</v>
      </c>
      <c r="AE56" s="7" t="str">
        <f>AE3</f>
        <v>Kv4 2024</v>
      </c>
      <c r="AF56" s="7" t="s">
        <v>289</v>
      </c>
      <c r="AG56" s="7" t="str">
        <f>+AG$3</f>
        <v>Kv1 2025</v>
      </c>
      <c r="AH56" s="153"/>
      <c r="AI56" s="153"/>
    </row>
    <row r="57" spans="2:35" s="2" customFormat="1">
      <c r="B57" s="10" t="s">
        <v>101</v>
      </c>
      <c r="C57" s="51">
        <v>2368</v>
      </c>
      <c r="D57" s="51">
        <v>2435</v>
      </c>
      <c r="E57" s="51">
        <v>2891</v>
      </c>
      <c r="F57" s="51">
        <f>F14+E14+D14+C14</f>
        <v>3205</v>
      </c>
      <c r="G57" s="22">
        <f>G14</f>
        <v>3205</v>
      </c>
      <c r="H57" s="51">
        <f>H14+F14+E14+D14</f>
        <v>3557</v>
      </c>
      <c r="I57" s="51">
        <f>I14+H14+F14+E14</f>
        <v>3887</v>
      </c>
      <c r="J57" s="51">
        <f>J14+I14+H14+F14</f>
        <v>3723</v>
      </c>
      <c r="K57" s="51">
        <f>H14+I14+J14+K14</f>
        <v>3855</v>
      </c>
      <c r="L57" s="22">
        <f>L14</f>
        <v>3855</v>
      </c>
      <c r="M57" s="51">
        <f>M14+K14+J14+I14</f>
        <v>3775</v>
      </c>
      <c r="N57" s="51">
        <f>N14+M14+K14+J14</f>
        <v>3567</v>
      </c>
      <c r="O57" s="51">
        <f>O14+N14+M14+K14</f>
        <v>3653</v>
      </c>
      <c r="P57" s="51">
        <f>M14+N14+O14+P14</f>
        <v>3299</v>
      </c>
      <c r="Q57" s="22">
        <f>Q14</f>
        <v>3299</v>
      </c>
      <c r="R57" s="51">
        <f>R14+P14+O14+N14</f>
        <v>3143</v>
      </c>
      <c r="S57" s="51">
        <f>S14+R14+P14+O14</f>
        <v>3077</v>
      </c>
      <c r="T57" s="51">
        <f>T14+S14+R14+P14</f>
        <v>2991</v>
      </c>
      <c r="U57" s="51">
        <f>U14+T14+S14+R14</f>
        <v>3732</v>
      </c>
      <c r="V57" s="22">
        <f>V14</f>
        <v>3732</v>
      </c>
      <c r="W57" s="51">
        <f>W14+U14+T14+S14</f>
        <v>3953</v>
      </c>
      <c r="X57" s="51">
        <f>X14+W14+U14+T14</f>
        <v>4740</v>
      </c>
      <c r="Y57" s="51">
        <f>Y14+X14+W14+U14</f>
        <v>5420</v>
      </c>
      <c r="Z57" s="51">
        <f>Z14+Y14+X14+W14</f>
        <v>5063</v>
      </c>
      <c r="AA57" s="22">
        <f>AA14</f>
        <v>5063</v>
      </c>
      <c r="AB57" s="51">
        <f>AB14+Z14+Y14+X14</f>
        <v>5232</v>
      </c>
      <c r="AC57" s="51">
        <f>AC14+AB14+Z14+Y14</f>
        <v>4837</v>
      </c>
      <c r="AD57" s="51">
        <f>AD14+AC14+AB14+Z14</f>
        <v>4651</v>
      </c>
      <c r="AE57" s="51">
        <f>AE14+AD14+AC14+AB14</f>
        <v>5011</v>
      </c>
      <c r="AF57" s="22">
        <f>+AE57</f>
        <v>5011</v>
      </c>
      <c r="AG57" s="51">
        <f>AG14+AE14+AD14+AC14</f>
        <v>5114</v>
      </c>
      <c r="AH57" s="153"/>
      <c r="AI57" s="153"/>
    </row>
    <row r="58" spans="2:35" s="2" customFormat="1">
      <c r="B58" s="10" t="s">
        <v>268</v>
      </c>
      <c r="C58" s="22">
        <v>271071783</v>
      </c>
      <c r="D58" s="22">
        <v>271071783</v>
      </c>
      <c r="E58" s="22">
        <v>271071783</v>
      </c>
      <c r="F58" s="22">
        <v>271071783</v>
      </c>
      <c r="G58" s="22">
        <v>271071783</v>
      </c>
      <c r="H58" s="22">
        <v>271071783</v>
      </c>
      <c r="I58" s="22">
        <v>271071783</v>
      </c>
      <c r="J58" s="22">
        <v>271071783</v>
      </c>
      <c r="K58" s="22">
        <v>271071783</v>
      </c>
      <c r="L58" s="22">
        <v>271071783</v>
      </c>
      <c r="M58" s="22">
        <v>271071783</v>
      </c>
      <c r="N58" s="22">
        <v>271071783</v>
      </c>
      <c r="O58" s="22">
        <v>271071783</v>
      </c>
      <c r="P58" s="22">
        <v>271071783</v>
      </c>
      <c r="Q58" s="22">
        <v>271071783</v>
      </c>
      <c r="R58" s="22">
        <v>271071253</v>
      </c>
      <c r="S58" s="22">
        <v>269985191</v>
      </c>
      <c r="T58" s="22">
        <v>267202271</v>
      </c>
      <c r="U58" s="22">
        <v>263885220</v>
      </c>
      <c r="V58" s="22">
        <v>263885220</v>
      </c>
      <c r="W58" s="22">
        <v>260044720</v>
      </c>
      <c r="X58" s="22">
        <f>X52</f>
        <v>256538341</v>
      </c>
      <c r="Y58" s="22">
        <f>Y52</f>
        <v>253668430</v>
      </c>
      <c r="Z58" s="22">
        <f>Z52</f>
        <v>250349374</v>
      </c>
      <c r="AA58" s="22">
        <f>AA52</f>
        <v>250349374</v>
      </c>
      <c r="AB58" s="22">
        <f>+AB52</f>
        <v>246752073</v>
      </c>
      <c r="AC58" s="22">
        <f>+AC52</f>
        <v>243261237</v>
      </c>
      <c r="AD58" s="22">
        <f>+AD52</f>
        <v>240304515</v>
      </c>
      <c r="AE58" s="22">
        <f>AE52</f>
        <v>237573828</v>
      </c>
      <c r="AF58" s="22">
        <f>AF52</f>
        <v>237573828</v>
      </c>
      <c r="AG58" s="22">
        <f>+AG52</f>
        <v>230773406</v>
      </c>
      <c r="AH58" s="153"/>
      <c r="AI58" s="153"/>
    </row>
    <row r="59" spans="2:35" s="2" customFormat="1">
      <c r="B59" s="46" t="s">
        <v>30</v>
      </c>
      <c r="C59" s="48">
        <f t="shared" ref="C59:S59" si="69">C57*1000000/C58</f>
        <v>8.7356934528297998</v>
      </c>
      <c r="D59" s="48">
        <f t="shared" si="69"/>
        <v>8.9828604550846958</v>
      </c>
      <c r="E59" s="48">
        <f t="shared" si="69"/>
        <v>10.665071694312056</v>
      </c>
      <c r="F59" s="48">
        <f t="shared" si="69"/>
        <v>11.82343645114844</v>
      </c>
      <c r="G59" s="48">
        <f t="shared" si="69"/>
        <v>11.82343645114844</v>
      </c>
      <c r="H59" s="48">
        <f t="shared" si="69"/>
        <v>13.121985477920438</v>
      </c>
      <c r="I59" s="48">
        <f t="shared" si="69"/>
        <v>14.339375190519185</v>
      </c>
      <c r="J59" s="48">
        <f t="shared" si="69"/>
        <v>13.734369393954958</v>
      </c>
      <c r="K59" s="48">
        <f t="shared" si="69"/>
        <v>14.221325278994458</v>
      </c>
      <c r="L59" s="48">
        <f t="shared" si="69"/>
        <v>14.221325278994458</v>
      </c>
      <c r="M59" s="48">
        <f t="shared" si="69"/>
        <v>13.92620050018264</v>
      </c>
      <c r="N59" s="48">
        <f t="shared" si="69"/>
        <v>13.158876075271914</v>
      </c>
      <c r="O59" s="48">
        <f t="shared" si="69"/>
        <v>13.476135212494619</v>
      </c>
      <c r="P59" s="48">
        <f t="shared" si="69"/>
        <v>12.170208066252325</v>
      </c>
      <c r="Q59" s="48">
        <f t="shared" si="69"/>
        <v>12.170208066252325</v>
      </c>
      <c r="R59" s="48">
        <f t="shared" si="69"/>
        <v>11.594737417619124</v>
      </c>
      <c r="S59" s="48">
        <f t="shared" si="69"/>
        <v>11.396921396329475</v>
      </c>
      <c r="T59" s="48">
        <f t="shared" ref="T59:W59" si="70">T57*1000000/T58</f>
        <v>11.193767136807008</v>
      </c>
      <c r="U59" s="48">
        <f t="shared" si="70"/>
        <v>14.142512415056819</v>
      </c>
      <c r="V59" s="48">
        <f t="shared" si="70"/>
        <v>14.142512415056819</v>
      </c>
      <c r="W59" s="48">
        <f t="shared" si="70"/>
        <v>15.201231542020926</v>
      </c>
      <c r="X59" s="48">
        <f t="shared" ref="X59:Y59" si="71">X57*1000000/X58</f>
        <v>18.476770300779329</v>
      </c>
      <c r="Y59" s="48">
        <f t="shared" si="71"/>
        <v>21.366474338174442</v>
      </c>
      <c r="Z59" s="48">
        <f t="shared" ref="Z59:AB59" si="72">Z57*1000000/Z58</f>
        <v>20.223737407867453</v>
      </c>
      <c r="AA59" s="48">
        <f t="shared" si="72"/>
        <v>20.223737407867453</v>
      </c>
      <c r="AB59" s="48">
        <f t="shared" si="72"/>
        <v>21.203469281492115</v>
      </c>
      <c r="AC59" s="48">
        <f t="shared" ref="AC59:AG59" si="73">AC57*1000000/AC58</f>
        <v>19.883973540757751</v>
      </c>
      <c r="AD59" s="48">
        <f t="shared" si="73"/>
        <v>19.354609296458705</v>
      </c>
      <c r="AE59" s="48">
        <f t="shared" si="73"/>
        <v>21.092390698860989</v>
      </c>
      <c r="AF59" s="48">
        <f t="shared" si="73"/>
        <v>21.092390698860989</v>
      </c>
      <c r="AG59" s="48">
        <f t="shared" si="73"/>
        <v>22.160265728365598</v>
      </c>
      <c r="AH59" s="153"/>
    </row>
    <row r="60" spans="2:35" s="2" customFormat="1">
      <c r="AH60" s="153"/>
    </row>
    <row r="61" spans="2:35" s="2" customFormat="1">
      <c r="E61" s="79"/>
      <c r="AH61" s="153"/>
    </row>
    <row r="62" spans="2:35" s="2" customFormat="1">
      <c r="AH62" s="153"/>
    </row>
    <row r="63" spans="2:35" s="2" customFormat="1">
      <c r="AH63" s="153"/>
    </row>
    <row r="64" spans="2:35" s="2" customFormat="1">
      <c r="R64" s="65"/>
      <c r="W64" s="65"/>
      <c r="X64" s="65"/>
      <c r="Y64" s="65"/>
      <c r="Z64" s="65"/>
      <c r="AB64" s="65"/>
      <c r="AE64" s="65"/>
      <c r="AG64" s="65"/>
      <c r="AH64" s="153"/>
    </row>
    <row r="65" spans="34:34" s="2" customFormat="1">
      <c r="AH65" s="153"/>
    </row>
    <row r="66" spans="34:34" s="2" customFormat="1">
      <c r="AH66" s="153"/>
    </row>
    <row r="67" spans="34:34" s="2" customFormat="1">
      <c r="AH67" s="153"/>
    </row>
    <row r="68" spans="34:34" s="2" customFormat="1">
      <c r="AH68" s="153"/>
    </row>
    <row r="69" spans="34:34" s="2" customFormat="1">
      <c r="AH69" s="153"/>
    </row>
    <row r="70" spans="34:34" s="2" customFormat="1">
      <c r="AH70" s="153"/>
    </row>
    <row r="71" spans="34:34" s="2" customFormat="1">
      <c r="AH71" s="153"/>
    </row>
    <row r="72" spans="34:34" s="2" customFormat="1">
      <c r="AH72" s="153"/>
    </row>
    <row r="73" spans="34:34" s="2" customFormat="1">
      <c r="AH73" s="153"/>
    </row>
    <row r="74" spans="34:34" s="2" customFormat="1">
      <c r="AH74" s="153"/>
    </row>
    <row r="75" spans="34:34" s="2" customFormat="1">
      <c r="AH75" s="153"/>
    </row>
    <row r="76" spans="34:34" s="2" customFormat="1">
      <c r="AH76" s="153"/>
    </row>
    <row r="77" spans="34:34" s="2" customFormat="1">
      <c r="AH77" s="153"/>
    </row>
    <row r="78" spans="34:34" s="2" customFormat="1">
      <c r="AH78" s="153"/>
    </row>
    <row r="79" spans="34:34" s="2" customFormat="1">
      <c r="AH79" s="153"/>
    </row>
    <row r="80" spans="34:34" s="2" customFormat="1">
      <c r="AH80" s="153"/>
    </row>
    <row r="81" spans="34:34" s="2" customFormat="1">
      <c r="AH81" s="153"/>
    </row>
    <row r="82" spans="34:34" s="2" customFormat="1">
      <c r="AH82" s="153"/>
    </row>
    <row r="83" spans="34:34" s="2" customFormat="1">
      <c r="AH83" s="153"/>
    </row>
    <row r="84" spans="34:34" s="2" customFormat="1">
      <c r="AH84" s="153"/>
    </row>
    <row r="85" spans="34:34" s="2" customFormat="1">
      <c r="AH85" s="153"/>
    </row>
    <row r="86" spans="34:34" s="2" customFormat="1">
      <c r="AH86" s="153"/>
    </row>
    <row r="87" spans="34:34" s="2" customFormat="1">
      <c r="AH87" s="153"/>
    </row>
    <row r="88" spans="34:34" s="2" customFormat="1">
      <c r="AH88" s="153"/>
    </row>
    <row r="89" spans="34:34" s="2" customFormat="1">
      <c r="AH89" s="153"/>
    </row>
    <row r="90" spans="34:34" s="2" customFormat="1">
      <c r="AH90" s="153"/>
    </row>
    <row r="91" spans="34:34" s="2" customFormat="1">
      <c r="AH91" s="153"/>
    </row>
    <row r="92" spans="34:34" s="2" customFormat="1">
      <c r="AH92" s="153"/>
    </row>
    <row r="93" spans="34:34" s="2" customFormat="1">
      <c r="AH93" s="153"/>
    </row>
    <row r="94" spans="34:34" s="2" customFormat="1">
      <c r="AH94" s="153"/>
    </row>
    <row r="95" spans="34:34" s="2" customFormat="1">
      <c r="AH95" s="153"/>
    </row>
    <row r="96" spans="34:34" s="2" customFormat="1">
      <c r="AH96" s="153"/>
    </row>
    <row r="97" spans="34:34" s="2" customFormat="1">
      <c r="AH97" s="153"/>
    </row>
    <row r="98" spans="34:34" s="2" customFormat="1">
      <c r="AH98" s="153"/>
    </row>
    <row r="99" spans="34:34" s="2" customFormat="1">
      <c r="AH99" s="153"/>
    </row>
    <row r="100" spans="34:34" s="2" customFormat="1">
      <c r="AH100" s="153"/>
    </row>
    <row r="101" spans="34:34" s="2" customFormat="1">
      <c r="AH101" s="153"/>
    </row>
    <row r="102" spans="34:34" s="2" customFormat="1">
      <c r="AH102" s="153"/>
    </row>
    <row r="103" spans="34:34" s="2" customFormat="1">
      <c r="AH103" s="153"/>
    </row>
    <row r="104" spans="34:34" s="2" customFormat="1">
      <c r="AH104" s="153"/>
    </row>
    <row r="105" spans="34:34" s="2" customFormat="1">
      <c r="AH105" s="153"/>
    </row>
    <row r="106" spans="34:34" s="2" customFormat="1">
      <c r="AH106" s="153"/>
    </row>
    <row r="107" spans="34:34" s="2" customFormat="1">
      <c r="AH107" s="153"/>
    </row>
    <row r="108" spans="34:34" s="2" customFormat="1">
      <c r="AH108" s="153"/>
    </row>
    <row r="109" spans="34:34" s="2" customFormat="1">
      <c r="AH109" s="153"/>
    </row>
    <row r="110" spans="34:34" s="2" customFormat="1">
      <c r="AH110" s="153"/>
    </row>
    <row r="111" spans="34:34" s="2" customFormat="1">
      <c r="AH111" s="153"/>
    </row>
    <row r="112" spans="34:34" s="2" customFormat="1">
      <c r="AH112" s="153"/>
    </row>
    <row r="113" spans="34:34" s="2" customFormat="1">
      <c r="AH113" s="153"/>
    </row>
    <row r="114" spans="34:34" s="2" customFormat="1">
      <c r="AH114" s="153"/>
    </row>
    <row r="115" spans="34:34" s="2" customFormat="1">
      <c r="AH115" s="153"/>
    </row>
    <row r="116" spans="34:34" s="2" customFormat="1">
      <c r="AH116" s="153"/>
    </row>
    <row r="117" spans="34:34" s="2" customFormat="1">
      <c r="AH117" s="153"/>
    </row>
    <row r="118" spans="34:34" s="2" customFormat="1">
      <c r="AH118" s="153"/>
    </row>
    <row r="119" spans="34:34" s="2" customFormat="1">
      <c r="AH119" s="153"/>
    </row>
    <row r="120" spans="34:34" s="2" customFormat="1">
      <c r="AH120" s="153"/>
    </row>
    <row r="121" spans="34:34" s="2" customFormat="1">
      <c r="AH121" s="153"/>
    </row>
    <row r="122" spans="34:34" s="2" customFormat="1">
      <c r="AH122" s="153"/>
    </row>
    <row r="123" spans="34:34" s="2" customFormat="1">
      <c r="AH123" s="153"/>
    </row>
    <row r="124" spans="34:34" s="2" customFormat="1">
      <c r="AH124" s="153"/>
    </row>
    <row r="125" spans="34:34" s="2" customFormat="1">
      <c r="AH125" s="153"/>
    </row>
    <row r="126" spans="34:34" s="2" customFormat="1">
      <c r="AH126" s="153"/>
    </row>
    <row r="127" spans="34:34" s="2" customFormat="1">
      <c r="AH127" s="153"/>
    </row>
    <row r="128" spans="34:34" s="2" customFormat="1">
      <c r="AH128" s="153"/>
    </row>
    <row r="129" spans="34:34" s="2" customFormat="1">
      <c r="AH129" s="153"/>
    </row>
    <row r="130" spans="34:34" s="2" customFormat="1">
      <c r="AH130" s="153"/>
    </row>
    <row r="131" spans="34:34" s="2" customFormat="1">
      <c r="AH131" s="153"/>
    </row>
    <row r="132" spans="34:34" s="2" customFormat="1">
      <c r="AH132" s="153"/>
    </row>
    <row r="133" spans="34:34" s="2" customFormat="1">
      <c r="AH133" s="153"/>
    </row>
    <row r="134" spans="34:34" s="2" customFormat="1">
      <c r="AH134" s="153"/>
    </row>
    <row r="135" spans="34:34" s="2" customFormat="1">
      <c r="AH135" s="153"/>
    </row>
    <row r="136" spans="34:34" s="2" customFormat="1">
      <c r="AH136" s="153"/>
    </row>
    <row r="137" spans="34:34" s="2" customFormat="1">
      <c r="AH137" s="153"/>
    </row>
    <row r="138" spans="34:34" s="2" customFormat="1">
      <c r="AH138" s="153"/>
    </row>
    <row r="139" spans="34:34" s="2" customFormat="1">
      <c r="AH139" s="153"/>
    </row>
    <row r="140" spans="34:34" s="2" customFormat="1">
      <c r="AH140" s="153"/>
    </row>
    <row r="141" spans="34:34" s="2" customFormat="1">
      <c r="AH141" s="153"/>
    </row>
    <row r="142" spans="34:34" s="2" customFormat="1">
      <c r="AH142" s="153"/>
    </row>
    <row r="143" spans="34:34" s="2" customFormat="1">
      <c r="AH143" s="153"/>
    </row>
    <row r="144" spans="34:34" s="2" customFormat="1">
      <c r="AH144" s="153"/>
    </row>
    <row r="145" spans="34:34" s="2" customFormat="1">
      <c r="AH145" s="153"/>
    </row>
    <row r="146" spans="34:34" s="2" customFormat="1">
      <c r="AH146" s="153"/>
    </row>
    <row r="147" spans="34:34" s="2" customFormat="1">
      <c r="AH147" s="153"/>
    </row>
    <row r="148" spans="34:34" s="2" customFormat="1">
      <c r="AH148" s="153"/>
    </row>
    <row r="149" spans="34:34" s="2" customFormat="1">
      <c r="AH149" s="153"/>
    </row>
    <row r="150" spans="34:34" s="2" customFormat="1">
      <c r="AH150" s="153"/>
    </row>
    <row r="151" spans="34:34" s="2" customFormat="1">
      <c r="AH151" s="153"/>
    </row>
    <row r="152" spans="34:34" s="2" customFormat="1">
      <c r="AH152" s="153"/>
    </row>
    <row r="153" spans="34:34" s="2" customFormat="1">
      <c r="AH153" s="153"/>
    </row>
    <row r="154" spans="34:34" s="2" customFormat="1">
      <c r="AH154" s="153"/>
    </row>
    <row r="155" spans="34:34" s="2" customFormat="1">
      <c r="AH155" s="153"/>
    </row>
    <row r="156" spans="34:34" s="2" customFormat="1">
      <c r="AH156" s="153"/>
    </row>
    <row r="157" spans="34:34" s="2" customFormat="1">
      <c r="AH157" s="153"/>
    </row>
    <row r="158" spans="34:34" s="2" customFormat="1">
      <c r="AH158" s="153"/>
    </row>
    <row r="159" spans="34:34" s="2" customFormat="1">
      <c r="AH159" s="153"/>
    </row>
    <row r="160" spans="34:34" s="2" customFormat="1">
      <c r="AH160" s="153"/>
    </row>
    <row r="161" spans="34:34" s="2" customFormat="1">
      <c r="AH161" s="153"/>
    </row>
    <row r="162" spans="34:34" s="2" customFormat="1">
      <c r="AH162" s="153"/>
    </row>
    <row r="163" spans="34:34" s="2" customFormat="1">
      <c r="AH163" s="153"/>
    </row>
    <row r="164" spans="34:34" s="2" customFormat="1"/>
    <row r="165" spans="34:34" s="2" customFormat="1"/>
    <row r="166" spans="34:34" s="2" customFormat="1"/>
    <row r="167" spans="34:34" s="2" customFormat="1"/>
    <row r="168" spans="34:34" s="2" customFormat="1"/>
    <row r="169" spans="34:34" s="2" customFormat="1"/>
    <row r="170" spans="34:34" s="2" customFormat="1"/>
    <row r="171" spans="34:34" s="2" customFormat="1"/>
    <row r="172" spans="34:34" s="2" customFormat="1"/>
    <row r="173" spans="34:34" s="2" customFormat="1"/>
    <row r="174" spans="34:34" s="2" customFormat="1"/>
    <row r="175" spans="34:34" s="2" customFormat="1"/>
    <row r="176" spans="34:34"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sheetData>
  <sortState xmlns:xlrd2="http://schemas.microsoft.com/office/spreadsheetml/2017/richdata2" columnSort="1" ref="C1:S59">
    <sortCondition descending="1" ref="C1:S1"/>
  </sortState>
  <pageMargins left="0.70866141732283472" right="0.70866141732283472" top="0.74803149606299213" bottom="0.74803149606299213" header="0.31496062992125984" footer="0.31496062992125984"/>
  <pageSetup paperSize="9" scale="70" orientation="landscape" r:id="rId1"/>
  <customProperties>
    <customPr name="EpmWorksheetKeyString_GUID" r:id="rId2"/>
  </customProperties>
  <ignoredErrors>
    <ignoredError sqref="AC57:AD5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49</vt:i4>
      </vt:variant>
    </vt:vector>
  </HeadingPairs>
  <TitlesOfParts>
    <vt:vector size="53" baseType="lpstr">
      <vt:lpstr>Definitioner</vt:lpstr>
      <vt:lpstr>RR</vt:lpstr>
      <vt:lpstr>BR</vt:lpstr>
      <vt:lpstr>Kassaflöde</vt:lpstr>
      <vt:lpstr>RR!Average_capital_employed</vt:lpstr>
      <vt:lpstr>Avkastning_på_sysselsatt_kapital</vt:lpstr>
      <vt:lpstr>BR!Balance_Sheets__SEK_M</vt:lpstr>
      <vt:lpstr>Balansräkningar</vt:lpstr>
      <vt:lpstr>RR!Capital_turnover_rate</vt:lpstr>
      <vt:lpstr>Kassaflöde!CasConRat</vt:lpstr>
      <vt:lpstr>Kassaflöde!Cash_conversion_ratio</vt:lpstr>
      <vt:lpstr>Kassaflöde!Cash_Flow</vt:lpstr>
      <vt:lpstr>Kassaflöde!Cash_Flow__SEK_M</vt:lpstr>
      <vt:lpstr>RR!Earnings_per_share__SEK</vt:lpstr>
      <vt:lpstr>RR!EBIT</vt:lpstr>
      <vt:lpstr>EBIT_</vt:lpstr>
      <vt:lpstr>RR!EBIT__excluding_items_affecting_comparability</vt:lpstr>
      <vt:lpstr>EBIT__exklusive_jämförelsestörande_poster</vt:lpstr>
      <vt:lpstr>RR!EBIT_margin_excluding_items_affecting_comparability</vt:lpstr>
      <vt:lpstr>EBIT_marginal_exklusive_jämföreslsestörande_poster</vt:lpstr>
      <vt:lpstr>RR!EBITA_margin_excluding_items_affecting_comparability</vt:lpstr>
      <vt:lpstr>EBITA_marginal_exklusive_jämföreslsestörande_poster</vt:lpstr>
      <vt:lpstr>RR!EBITDA__excluding_items_affecting_comparability</vt:lpstr>
      <vt:lpstr>EBITDA__exklusive_jämförelsestörande_poster</vt:lpstr>
      <vt:lpstr>RR!EBITDA_margin_excluding_items_affecting_comparability</vt:lpstr>
      <vt:lpstr>EBITDA_marginal_exklusive_jämföreslsestörande_poster</vt:lpstr>
      <vt:lpstr>RR!EBITDA_Net_interest_income_expense</vt:lpstr>
      <vt:lpstr>EBITDA_Räntenetto</vt:lpstr>
      <vt:lpstr>RR!EBITspec</vt:lpstr>
      <vt:lpstr>BR!Eqasratio</vt:lpstr>
      <vt:lpstr>BR!Equity_assets_ratio</vt:lpstr>
      <vt:lpstr>Kassaflöde!Free_cash_flow_per_share</vt:lpstr>
      <vt:lpstr>Kassaflöde!Frepsha</vt:lpstr>
      <vt:lpstr>Fritt_kassaflöde_per_aktie</vt:lpstr>
      <vt:lpstr>Genomsnittligt_sysselsatt_kapital__R12</vt:lpstr>
      <vt:lpstr>RR!Income_Statements__SEK_M</vt:lpstr>
      <vt:lpstr>Kapitalomsättningshastighet</vt:lpstr>
      <vt:lpstr>Kassaflödesrapporter</vt:lpstr>
      <vt:lpstr>Kassakonvertering</vt:lpstr>
      <vt:lpstr>Kassaflöde!opcapsh</vt:lpstr>
      <vt:lpstr>Kassaflöde!Operating_cash_flow</vt:lpstr>
      <vt:lpstr>Kassaflöde!Operating_cash_flow_per_share</vt:lpstr>
      <vt:lpstr>Operativt_kassaflöde</vt:lpstr>
      <vt:lpstr>Operativt_kassaflöde_per_aktie</vt:lpstr>
      <vt:lpstr>RR!P_E_ratio</vt:lpstr>
      <vt:lpstr>P_E_tal</vt:lpstr>
      <vt:lpstr>RR!PEra</vt:lpstr>
      <vt:lpstr>RR!RatCapTurn</vt:lpstr>
      <vt:lpstr>Resultat_per_aktie__SEK</vt:lpstr>
      <vt:lpstr>Resultaträkningar</vt:lpstr>
      <vt:lpstr>RR!RetCapEmp</vt:lpstr>
      <vt:lpstr>Rntek</vt:lpstr>
      <vt:lpstr>Soliditet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Louise Kristersson</cp:lastModifiedBy>
  <cp:lastPrinted>2024-01-30T15:32:21Z</cp:lastPrinted>
  <dcterms:created xsi:type="dcterms:W3CDTF">2018-01-31T16:01:07Z</dcterms:created>
  <dcterms:modified xsi:type="dcterms:W3CDTF">2025-04-23T13:17:58Z</dcterms:modified>
</cp:coreProperties>
</file>