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trelleborg-my.sharepoint.com/personal/tobias_rydergren_trelleborg_com/Documents/Kvartalsrapporter/2026 Q1/"/>
    </mc:Choice>
  </mc:AlternateContent>
  <xr:revisionPtr revIDLastSave="0" documentId="10_ncr:8000_{5F8424D2-A0EE-4948-9374-4E261495366A}" xr6:coauthVersionLast="47" xr6:coauthVersionMax="47" xr10:uidLastSave="{00000000-0000-0000-0000-000000000000}"/>
  <bookViews>
    <workbookView xWindow="30" yWindow="795" windowWidth="28770" windowHeight="15405" xr2:uid="{00000000-000D-0000-FFFF-FFFF00000000}"/>
  </bookViews>
  <sheets>
    <sheet name="Definitioner" sheetId="1" r:id="rId1"/>
    <sheet name="RR" sheetId="2" r:id="rId2"/>
    <sheet name="BR" sheetId="3" r:id="rId3"/>
    <sheet name="Kassaflöde" sheetId="4" r:id="rId4"/>
  </sheets>
  <definedNames>
    <definedName name="Average_capital_employed" localSheetId="1">RR!$B$91</definedName>
    <definedName name="Avkastning_på_sysselsatt_kapital">RR!$B$88</definedName>
    <definedName name="Balance_Sheets__SEK_M" localSheetId="2">BR!$B$3</definedName>
    <definedName name="Balansräkningar">BR!$B$1</definedName>
    <definedName name="CapEmp" localSheetId="2">BR!#REF!</definedName>
    <definedName name="Capital_employed" localSheetId="2">BR!#REF!</definedName>
    <definedName name="Capital_turnover_rate" localSheetId="1">RR!$B$105</definedName>
    <definedName name="CasConRat" localSheetId="3">Kassaflöde!$B$48</definedName>
    <definedName name="Cash_conversion_ratio" localSheetId="3">Kassaflöde!$B$45</definedName>
    <definedName name="Cash_Flow" localSheetId="3">Kassaflöde!$B$1</definedName>
    <definedName name="Cash_Flow__SEK_M" localSheetId="3">Kassaflöde!$B$3</definedName>
    <definedName name="Change_in_net_debt" localSheetId="2">BR!#REF!</definedName>
    <definedName name="Debt_equity_ratio" localSheetId="2">BR!#REF!</definedName>
    <definedName name="Earnings_per_share__SEK" localSheetId="1">RR!$B$26</definedName>
    <definedName name="EBIT" localSheetId="1">RR!$B$70</definedName>
    <definedName name="EBIT_">RR!$B$70</definedName>
    <definedName name="EBIT__excluding_items_affecting_comparability" localSheetId="1">RR!$B$68</definedName>
    <definedName name="EBIT__exklusive_jämförelsestörande_poster">RR!$B$68</definedName>
    <definedName name="EBIT_margin_excluding_items_affecting_comparability" localSheetId="1">RR!$B$73</definedName>
    <definedName name="EBIT_marginal_exklusive_jämföreslsestörande_poster">RR!$B$73</definedName>
    <definedName name="EBITA__excluding_items_affecting_comparability" localSheetId="1">RR!#REF!</definedName>
    <definedName name="EBITA__exklusive_jämförelsestörande_poster">RR!#REF!</definedName>
    <definedName name="EBITA_margin_excluding_items_affecting_comparability" localSheetId="1">RR!$B$72</definedName>
    <definedName name="EBITA_marginal_exklusive_jämföreslsestörande_poster">RR!$B$72</definedName>
    <definedName name="EBITDA__excluding_items_affecting_comparability" localSheetId="1">RR!$B$63</definedName>
    <definedName name="EBITDA__exklusive_jämförelsestörande_poster">RR!$B$63</definedName>
    <definedName name="EBITDA_margin_excluding_items_affecting_comparability" localSheetId="1">RR!$B$71</definedName>
    <definedName name="EBITDA_marginal_exklusive_jämföreslsestörande_poster">RR!$B$71</definedName>
    <definedName name="EBITDA_Net_interest_income_expense" localSheetId="1">RR!$B$79</definedName>
    <definedName name="EBITDA_Räntenetto">RR!$B$79</definedName>
    <definedName name="EBITspec" localSheetId="1">RR!$B$61</definedName>
    <definedName name="Eqasratio" localSheetId="2">BR!$B$60</definedName>
    <definedName name="Equity_assets_ratio" localSheetId="2">BR!$B$56</definedName>
    <definedName name="Free_cash_flow" localSheetId="3">Kassaflöde!#REF!</definedName>
    <definedName name="Free_cash_flow_per_share" localSheetId="3">Kassaflöde!$B$51</definedName>
    <definedName name="Frepsha" localSheetId="3">Kassaflöde!$B$54</definedName>
    <definedName name="Fritt_kassaflöde">Kassaflöde!#REF!</definedName>
    <definedName name="Fritt_kassaflöde_per_aktie">Kassaflöde!$B$54</definedName>
    <definedName name="Genomsnittligt_sysselsatt_kapital__R12">RR!$B$104</definedName>
    <definedName name="Income_Statements__SEK_M" localSheetId="1">RR!$B$3</definedName>
    <definedName name="Kapitalomsättningshastighet">RR!$B$105</definedName>
    <definedName name="Kassaflödesrapporter">Kassaflöde!$B$1</definedName>
    <definedName name="Kassakonvertering">Kassaflöde!$B$48</definedName>
    <definedName name="Net_debt__closing_balance" localSheetId="2">BR!#REF!</definedName>
    <definedName name="Net_debt_EBITDA_1" localSheetId="2">BR!#REF!</definedName>
    <definedName name="Nettoskuld__utgående_balans">BR!#REF!</definedName>
    <definedName name="Nettoskuld_EBITDA_1">BR!#REF!</definedName>
    <definedName name="opcapsh" localSheetId="3">Kassaflöde!$B$60</definedName>
    <definedName name="Operating_cash_flow" localSheetId="3">Kassaflöde!$B$14</definedName>
    <definedName name="Operating_cash_flow_per_share" localSheetId="3">Kassaflöde!$B$57</definedName>
    <definedName name="Operativt_kassaflöde">Kassaflöde!$B$14</definedName>
    <definedName name="Operativt_kassaflöde_per_aktie">Kassaflöde!$B$60</definedName>
    <definedName name="P_E_ratio" localSheetId="1">RR!$B$82</definedName>
    <definedName name="P_E_tal">RR!$B$85</definedName>
    <definedName name="PEra" localSheetId="1">RR!$B$85</definedName>
    <definedName name="RatCapTurn" localSheetId="1">RR!$B$102</definedName>
    <definedName name="Resultat_per_aktie__SEK">RR!$B$26</definedName>
    <definedName name="Resultaträkningar">RR!$B$1</definedName>
    <definedName name="RetCapEmp" localSheetId="1">RR!$B$88</definedName>
    <definedName name="Rntek">RR!$B$109</definedName>
    <definedName name="Skuldsättningsgrad">BR!#REF!</definedName>
    <definedName name="Soliditet">BR!$B$60</definedName>
    <definedName name="Spec_of_cap_empl" localSheetId="2">BR!#REF!</definedName>
    <definedName name="Sysselsatt_kapital">BR!#REF!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2" i="4" l="1"/>
  <c r="AB115" i="2"/>
  <c r="AB116" i="2" s="1"/>
  <c r="AB112" i="2"/>
  <c r="AB103" i="2"/>
  <c r="AB109" i="2"/>
  <c r="D41" i="3"/>
  <c r="E41" i="3" s="1"/>
  <c r="F41" i="3" s="1"/>
  <c r="AB53" i="4" l="1"/>
  <c r="AB66" i="2" l="1"/>
  <c r="AB72" i="2" s="1"/>
  <c r="AB19" i="4"/>
  <c r="AB59" i="4"/>
  <c r="AB57" i="4"/>
  <c r="AB51" i="4"/>
  <c r="AB45" i="4"/>
  <c r="AB6" i="4"/>
  <c r="AB5" i="4"/>
  <c r="W63" i="3"/>
  <c r="W56" i="3"/>
  <c r="W39" i="3"/>
  <c r="W69" i="3"/>
  <c r="W68" i="3"/>
  <c r="W67" i="3"/>
  <c r="W66" i="3"/>
  <c r="W34" i="3"/>
  <c r="W29" i="3"/>
  <c r="W18" i="3"/>
  <c r="W12" i="3"/>
  <c r="AB102" i="2"/>
  <c r="AB88" i="2"/>
  <c r="AB82" i="2"/>
  <c r="AB76" i="2"/>
  <c r="AB61" i="2"/>
  <c r="AB40" i="2"/>
  <c r="AB26" i="2"/>
  <c r="AB85" i="2"/>
  <c r="AB71" i="2"/>
  <c r="AB52" i="2"/>
  <c r="AB46" i="2"/>
  <c r="AB29" i="2"/>
  <c r="AB6" i="2"/>
  <c r="AB13" i="2" s="1"/>
  <c r="AB4" i="4" s="1"/>
  <c r="AA39" i="4"/>
  <c r="V43" i="3"/>
  <c r="AA110" i="2"/>
  <c r="Z104" i="2"/>
  <c r="AB68" i="2" l="1"/>
  <c r="AB73" i="2" s="1"/>
  <c r="AB7" i="4"/>
  <c r="AB14" i="4" s="1"/>
  <c r="W20" i="3"/>
  <c r="W59" i="3" s="1"/>
  <c r="W70" i="3"/>
  <c r="AB53" i="2"/>
  <c r="W44" i="3" s="1"/>
  <c r="AB15" i="2"/>
  <c r="V31" i="2"/>
  <c r="AA109" i="2"/>
  <c r="AA102" i="2"/>
  <c r="AA88" i="2"/>
  <c r="AA82" i="2"/>
  <c r="AA76" i="2"/>
  <c r="AA61" i="2"/>
  <c r="AA40" i="2"/>
  <c r="AA26" i="2"/>
  <c r="AA59" i="4"/>
  <c r="Z59" i="4"/>
  <c r="Z57" i="4"/>
  <c r="Z51" i="4"/>
  <c r="Z45" i="4"/>
  <c r="AA35" i="4"/>
  <c r="AA34" i="4"/>
  <c r="AA31" i="4"/>
  <c r="AA30" i="4"/>
  <c r="AA29" i="4"/>
  <c r="AA27" i="4"/>
  <c r="AA25" i="4"/>
  <c r="AA24" i="4"/>
  <c r="AA23" i="4"/>
  <c r="AA13" i="4"/>
  <c r="AA11" i="4"/>
  <c r="AA10" i="4"/>
  <c r="AA9" i="4"/>
  <c r="Z6" i="4"/>
  <c r="Z5" i="4"/>
  <c r="V69" i="3"/>
  <c r="V68" i="3"/>
  <c r="V67" i="3"/>
  <c r="V66" i="3"/>
  <c r="V39" i="3"/>
  <c r="V56" i="3" s="1"/>
  <c r="V63" i="3" s="1"/>
  <c r="V34" i="3"/>
  <c r="V29" i="3"/>
  <c r="V18" i="3"/>
  <c r="V12" i="3"/>
  <c r="Z112" i="2"/>
  <c r="Z113" i="2" s="1"/>
  <c r="AA4" i="2"/>
  <c r="AA103" i="2" s="1"/>
  <c r="Z115" i="2"/>
  <c r="AA114" i="2"/>
  <c r="AA111" i="2"/>
  <c r="Z103" i="2"/>
  <c r="AA94" i="2"/>
  <c r="AA93" i="2"/>
  <c r="AA92" i="2"/>
  <c r="AA104" i="2" s="1"/>
  <c r="AA91" i="2"/>
  <c r="Z85" i="2"/>
  <c r="AA83" i="2"/>
  <c r="Z79" i="2"/>
  <c r="AA78" i="2"/>
  <c r="AA77" i="2"/>
  <c r="Z69" i="2"/>
  <c r="AA67" i="2"/>
  <c r="AA65" i="2"/>
  <c r="AA64" i="2"/>
  <c r="AA5" i="4" s="1"/>
  <c r="AA58" i="2"/>
  <c r="AA57" i="2"/>
  <c r="Z52" i="2"/>
  <c r="AA51" i="2"/>
  <c r="AA50" i="2"/>
  <c r="AA49" i="2"/>
  <c r="AA48" i="2"/>
  <c r="Z46" i="2"/>
  <c r="AA45" i="2"/>
  <c r="AA44" i="2"/>
  <c r="AA35" i="2"/>
  <c r="AA34" i="2"/>
  <c r="Z29" i="2"/>
  <c r="Z26" i="2"/>
  <c r="Z40" i="2" s="1"/>
  <c r="Z61" i="2" s="1"/>
  <c r="Z76" i="2" s="1"/>
  <c r="Z82" i="2" s="1"/>
  <c r="Z88" i="2" s="1"/>
  <c r="Z102" i="2" s="1"/>
  <c r="Z109" i="2" s="1"/>
  <c r="AA23" i="2"/>
  <c r="AA22" i="2"/>
  <c r="AA18" i="2"/>
  <c r="AA16" i="2"/>
  <c r="AA14" i="2"/>
  <c r="AA12" i="2"/>
  <c r="AA11" i="2"/>
  <c r="AA10" i="2"/>
  <c r="AA9" i="2"/>
  <c r="AA8" i="2"/>
  <c r="AA7" i="2"/>
  <c r="Z6" i="2"/>
  <c r="Z13" i="2" s="1"/>
  <c r="AA5" i="2"/>
  <c r="Y29" i="2"/>
  <c r="AA115" i="2" l="1"/>
  <c r="AB16" i="4"/>
  <c r="AB21" i="4" s="1"/>
  <c r="AB17" i="2"/>
  <c r="AB19" i="2" s="1"/>
  <c r="AB21" i="2" s="1"/>
  <c r="AB70" i="2"/>
  <c r="V70" i="3"/>
  <c r="AA6" i="4"/>
  <c r="Z4" i="4"/>
  <c r="Z7" i="4" s="1"/>
  <c r="Z14" i="4" s="1"/>
  <c r="Z105" i="2"/>
  <c r="V20" i="3"/>
  <c r="V59" i="3" s="1"/>
  <c r="AA105" i="2"/>
  <c r="AA79" i="2"/>
  <c r="AA52" i="2"/>
  <c r="Z53" i="2"/>
  <c r="AA46" i="2"/>
  <c r="AA29" i="2"/>
  <c r="AA6" i="2"/>
  <c r="AA13" i="2" s="1"/>
  <c r="AA4" i="4" s="1"/>
  <c r="AA112" i="2"/>
  <c r="Z15" i="2"/>
  <c r="AA84" i="2"/>
  <c r="AA85" i="2" s="1"/>
  <c r="O43" i="3"/>
  <c r="P43" i="3" s="1"/>
  <c r="Q43" i="3" s="1"/>
  <c r="R43" i="3" s="1"/>
  <c r="K43" i="3"/>
  <c r="L43" i="3" s="1"/>
  <c r="M43" i="3" s="1"/>
  <c r="N43" i="3" s="1"/>
  <c r="G43" i="3"/>
  <c r="H43" i="3" s="1"/>
  <c r="I43" i="3" s="1"/>
  <c r="J43" i="3" s="1"/>
  <c r="AB54" i="2" l="1"/>
  <c r="W43" i="3"/>
  <c r="AA113" i="2"/>
  <c r="AB113" i="2"/>
  <c r="AA7" i="4"/>
  <c r="AA53" i="2"/>
  <c r="Z16" i="4"/>
  <c r="AA89" i="2"/>
  <c r="AA97" i="2" s="1"/>
  <c r="AA15" i="2"/>
  <c r="AA70" i="2" s="1"/>
  <c r="Z70" i="2"/>
  <c r="Z63" i="2" s="1"/>
  <c r="Z17" i="2"/>
  <c r="Z19" i="2" s="1"/>
  <c r="Z21" i="2" s="1"/>
  <c r="Z41" i="2" s="1"/>
  <c r="Z54" i="2" s="1"/>
  <c r="S43" i="3"/>
  <c r="T43" i="3"/>
  <c r="U43" i="3"/>
  <c r="Y103" i="2"/>
  <c r="AA95" i="2" l="1"/>
  <c r="AA90" i="2"/>
  <c r="AA98" i="2" s="1"/>
  <c r="AA17" i="2"/>
  <c r="AA19" i="2" s="1"/>
  <c r="AA21" i="2" s="1"/>
  <c r="AA41" i="2" s="1"/>
  <c r="AA54" i="2" s="1"/>
  <c r="Z71" i="2"/>
  <c r="Z66" i="2"/>
  <c r="Y112" i="2"/>
  <c r="Y113" i="2" s="1"/>
  <c r="AA96" i="2" l="1"/>
  <c r="Z68" i="2"/>
  <c r="Z72" i="2"/>
  <c r="Z73" i="2" l="1"/>
  <c r="V93" i="2"/>
  <c r="V94" i="2"/>
  <c r="Q94" i="2"/>
  <c r="Q93" i="2"/>
  <c r="L94" i="2"/>
  <c r="L93" i="2"/>
  <c r="Y59" i="4"/>
  <c r="Y57" i="4"/>
  <c r="Y51" i="4"/>
  <c r="Y45" i="4"/>
  <c r="Y6" i="4"/>
  <c r="Y5" i="4"/>
  <c r="U63" i="3"/>
  <c r="U56" i="3"/>
  <c r="U39" i="3"/>
  <c r="U69" i="3"/>
  <c r="U68" i="3"/>
  <c r="U67" i="3"/>
  <c r="U66" i="3"/>
  <c r="U40" i="3"/>
  <c r="U57" i="3" s="1"/>
  <c r="U34" i="3"/>
  <c r="U29" i="3"/>
  <c r="U18" i="3"/>
  <c r="U12" i="3"/>
  <c r="Y69" i="2"/>
  <c r="Y115" i="2"/>
  <c r="Y104" i="2"/>
  <c r="Y85" i="2"/>
  <c r="Y79" i="2"/>
  <c r="Y52" i="2"/>
  <c r="Y46" i="2"/>
  <c r="Y26" i="2"/>
  <c r="Y40" i="2" s="1"/>
  <c r="Y61" i="2" s="1"/>
  <c r="Y76" i="2" s="1"/>
  <c r="Y82" i="2" s="1"/>
  <c r="Y88" i="2" s="1"/>
  <c r="Y102" i="2" s="1"/>
  <c r="Y109" i="2" s="1"/>
  <c r="Y6" i="2"/>
  <c r="Y13" i="2" s="1"/>
  <c r="Y4" i="4" s="1"/>
  <c r="X103" i="2"/>
  <c r="U64" i="3" l="1"/>
  <c r="U70" i="3"/>
  <c r="Y7" i="4"/>
  <c r="Y14" i="4" s="1"/>
  <c r="U20" i="3"/>
  <c r="U59" i="3" s="1"/>
  <c r="Y53" i="2"/>
  <c r="Y15" i="2"/>
  <c r="Y17" i="2" s="1"/>
  <c r="Y19" i="2" s="1"/>
  <c r="Y21" i="2" s="1"/>
  <c r="Y41" i="2" s="1"/>
  <c r="X12" i="4"/>
  <c r="AA12" i="4" s="1"/>
  <c r="X8" i="4"/>
  <c r="Y16" i="4" l="1"/>
  <c r="Y54" i="2"/>
  <c r="Y70" i="2"/>
  <c r="Y63" i="2" s="1"/>
  <c r="Y66" i="2" s="1"/>
  <c r="X59" i="4"/>
  <c r="X57" i="4"/>
  <c r="X51" i="4"/>
  <c r="X45" i="4"/>
  <c r="X6" i="4"/>
  <c r="X5" i="4"/>
  <c r="T69" i="3"/>
  <c r="T68" i="3"/>
  <c r="T67" i="3"/>
  <c r="T66" i="3"/>
  <c r="T40" i="3"/>
  <c r="T57" i="3" s="1"/>
  <c r="T34" i="3"/>
  <c r="T29" i="3"/>
  <c r="T18" i="3"/>
  <c r="T12" i="3"/>
  <c r="X26" i="2"/>
  <c r="X40" i="2" s="1"/>
  <c r="X61" i="2" s="1"/>
  <c r="X76" i="2" s="1"/>
  <c r="X82" i="2" s="1"/>
  <c r="X88" i="2" s="1"/>
  <c r="X102" i="2" s="1"/>
  <c r="X109" i="2" s="1"/>
  <c r="X115" i="2"/>
  <c r="X112" i="2"/>
  <c r="X113" i="2" s="1"/>
  <c r="X104" i="2"/>
  <c r="X85" i="2"/>
  <c r="X79" i="2"/>
  <c r="X69" i="2"/>
  <c r="X52" i="2"/>
  <c r="X46" i="2"/>
  <c r="X29" i="2"/>
  <c r="X6" i="2"/>
  <c r="X13" i="2" s="1"/>
  <c r="W8" i="4"/>
  <c r="AA8" i="4" s="1"/>
  <c r="AA14" i="4" s="1"/>
  <c r="AA16" i="4" s="1"/>
  <c r="W104" i="2"/>
  <c r="X4" i="4" l="1"/>
  <c r="AB89" i="2"/>
  <c r="T64" i="3"/>
  <c r="Y71" i="2"/>
  <c r="Y72" i="2"/>
  <c r="Y68" i="2"/>
  <c r="Y73" i="2" s="1"/>
  <c r="T70" i="3"/>
  <c r="X7" i="4"/>
  <c r="T20" i="3"/>
  <c r="T59" i="3" s="1"/>
  <c r="X53" i="2"/>
  <c r="X15" i="2"/>
  <c r="AB90" i="2" s="1"/>
  <c r="W57" i="4"/>
  <c r="W51" i="4"/>
  <c r="W45" i="4"/>
  <c r="W19" i="4"/>
  <c r="W59" i="4"/>
  <c r="W6" i="4"/>
  <c r="W5" i="4"/>
  <c r="S40" i="3"/>
  <c r="S64" i="3" s="1"/>
  <c r="S69" i="3"/>
  <c r="S68" i="3"/>
  <c r="S67" i="3"/>
  <c r="S66" i="3"/>
  <c r="S34" i="3"/>
  <c r="S29" i="3"/>
  <c r="S18" i="3"/>
  <c r="S12" i="3"/>
  <c r="W115" i="2"/>
  <c r="AB117" i="2" s="1"/>
  <c r="W112" i="2"/>
  <c r="W113" i="2" s="1"/>
  <c r="W109" i="2"/>
  <c r="W102" i="2"/>
  <c r="W88" i="2"/>
  <c r="W82" i="2"/>
  <c r="W76" i="2"/>
  <c r="W69" i="2"/>
  <c r="AA69" i="2" s="1"/>
  <c r="W61" i="2"/>
  <c r="W40" i="2"/>
  <c r="W26" i="2"/>
  <c r="W103" i="2"/>
  <c r="W105" i="2" s="1"/>
  <c r="W85" i="2"/>
  <c r="W79" i="2"/>
  <c r="W52" i="2"/>
  <c r="W46" i="2"/>
  <c r="W29" i="2"/>
  <c r="W6" i="2"/>
  <c r="W13" i="2" s="1"/>
  <c r="U112" i="2"/>
  <c r="V112" i="2" s="1"/>
  <c r="V57" i="2"/>
  <c r="W4" i="4" l="1"/>
  <c r="Z89" i="2"/>
  <c r="AB95" i="2"/>
  <c r="AB47" i="4"/>
  <c r="S57" i="3"/>
  <c r="X14" i="4"/>
  <c r="X17" i="2"/>
  <c r="X19" i="2" s="1"/>
  <c r="X21" i="2" s="1"/>
  <c r="X41" i="2" s="1"/>
  <c r="X54" i="2" s="1"/>
  <c r="X70" i="2"/>
  <c r="W7" i="4"/>
  <c r="S20" i="3"/>
  <c r="S59" i="3" s="1"/>
  <c r="S70" i="3"/>
  <c r="W53" i="2"/>
  <c r="S44" i="3" s="1"/>
  <c r="W15" i="2"/>
  <c r="Z90" i="2" s="1"/>
  <c r="R34" i="3"/>
  <c r="Z47" i="4" l="1"/>
  <c r="AA47" i="4" s="1"/>
  <c r="Z97" i="2"/>
  <c r="Z95" i="2"/>
  <c r="Z98" i="2"/>
  <c r="Z96" i="2"/>
  <c r="AB46" i="4"/>
  <c r="AB48" i="4" s="1"/>
  <c r="AB58" i="4"/>
  <c r="AB60" i="4" s="1"/>
  <c r="X16" i="4"/>
  <c r="X63" i="2"/>
  <c r="X71" i="2" s="1"/>
  <c r="W14" i="4"/>
  <c r="W70" i="2"/>
  <c r="W17" i="2"/>
  <c r="W19" i="2" s="1"/>
  <c r="W21" i="2" s="1"/>
  <c r="W41" i="2" s="1"/>
  <c r="U84" i="2"/>
  <c r="W16" i="4" l="1"/>
  <c r="X21" i="4" s="1"/>
  <c r="Z46" i="4"/>
  <c r="Z58" i="4"/>
  <c r="Z21" i="4"/>
  <c r="Y21" i="4"/>
  <c r="W63" i="2"/>
  <c r="W54" i="2"/>
  <c r="X66" i="2"/>
  <c r="W21" i="4"/>
  <c r="V110" i="2"/>
  <c r="U29" i="2"/>
  <c r="V27" i="2"/>
  <c r="V59" i="4"/>
  <c r="V39" i="4"/>
  <c r="V35" i="4"/>
  <c r="V34" i="4"/>
  <c r="V33" i="4"/>
  <c r="V31" i="4"/>
  <c r="V30" i="4"/>
  <c r="W30" i="4" s="1"/>
  <c r="X30" i="4" s="1"/>
  <c r="V29" i="4"/>
  <c r="V27" i="4"/>
  <c r="V23" i="4"/>
  <c r="V24" i="4"/>
  <c r="V25" i="4"/>
  <c r="V22" i="4"/>
  <c r="W22" i="4" s="1"/>
  <c r="X22" i="4" s="1"/>
  <c r="U59" i="4"/>
  <c r="U57" i="4"/>
  <c r="U51" i="4"/>
  <c r="U45" i="4"/>
  <c r="V13" i="4"/>
  <c r="V12" i="4"/>
  <c r="V11" i="4"/>
  <c r="V10" i="4"/>
  <c r="V9" i="4"/>
  <c r="V8" i="4"/>
  <c r="U6" i="4"/>
  <c r="U5" i="4"/>
  <c r="R69" i="3"/>
  <c r="R68" i="3"/>
  <c r="R67" i="3"/>
  <c r="R66" i="3"/>
  <c r="R39" i="3"/>
  <c r="R56" i="3" s="1"/>
  <c r="R63" i="3" s="1"/>
  <c r="R29" i="3"/>
  <c r="R18" i="3"/>
  <c r="R12" i="3"/>
  <c r="V111" i="2"/>
  <c r="V115" i="2" s="1"/>
  <c r="AA116" i="2" s="1"/>
  <c r="AA117" i="2" s="1"/>
  <c r="V114" i="2"/>
  <c r="V109" i="2"/>
  <c r="V102" i="2"/>
  <c r="V61" i="2"/>
  <c r="V88" i="2"/>
  <c r="V82" i="2"/>
  <c r="V76" i="2"/>
  <c r="V40" i="2"/>
  <c r="V26" i="2"/>
  <c r="V92" i="2"/>
  <c r="V104" i="2" s="1"/>
  <c r="V91" i="2"/>
  <c r="V84" i="2"/>
  <c r="V83" i="2"/>
  <c r="V78" i="2"/>
  <c r="V77" i="2"/>
  <c r="V58" i="2"/>
  <c r="V35" i="2"/>
  <c r="V34" i="2"/>
  <c r="V30" i="2"/>
  <c r="V4" i="2"/>
  <c r="V67" i="2"/>
  <c r="V65" i="2"/>
  <c r="V64" i="2"/>
  <c r="V5" i="4" s="1"/>
  <c r="V51" i="2"/>
  <c r="V50" i="2"/>
  <c r="V49" i="2"/>
  <c r="V48" i="2"/>
  <c r="V45" i="2"/>
  <c r="V44" i="2"/>
  <c r="V23" i="2"/>
  <c r="V22" i="2"/>
  <c r="V18" i="2"/>
  <c r="V16" i="2"/>
  <c r="V14" i="2"/>
  <c r="V12" i="2"/>
  <c r="V11" i="2"/>
  <c r="V10" i="2"/>
  <c r="V9" i="2"/>
  <c r="V8" i="2"/>
  <c r="V7" i="2"/>
  <c r="V5" i="2"/>
  <c r="Q4" i="2"/>
  <c r="U103" i="2"/>
  <c r="U69" i="2"/>
  <c r="U115" i="2"/>
  <c r="Z116" i="2" s="1"/>
  <c r="Z117" i="2" s="1"/>
  <c r="U113" i="2"/>
  <c r="U104" i="2"/>
  <c r="U85" i="2"/>
  <c r="U79" i="2"/>
  <c r="U52" i="2"/>
  <c r="U46" i="2"/>
  <c r="U26" i="2"/>
  <c r="U40" i="2" s="1"/>
  <c r="U61" i="2" s="1"/>
  <c r="U76" i="2" s="1"/>
  <c r="U82" i="2" s="1"/>
  <c r="U88" i="2" s="1"/>
  <c r="U102" i="2" s="1"/>
  <c r="U109" i="2" s="1"/>
  <c r="U6" i="2"/>
  <c r="U13" i="2" s="1"/>
  <c r="Y89" i="2" s="1"/>
  <c r="W66" i="2" l="1"/>
  <c r="AA63" i="2"/>
  <c r="AA21" i="4"/>
  <c r="Z60" i="4"/>
  <c r="AA58" i="4"/>
  <c r="AA60" i="4" s="1"/>
  <c r="AA46" i="4"/>
  <c r="AA48" i="4" s="1"/>
  <c r="Z48" i="4"/>
  <c r="X26" i="4"/>
  <c r="Y22" i="4"/>
  <c r="Z22" i="4" s="1"/>
  <c r="AA22" i="4" s="1"/>
  <c r="AB26" i="4" s="1"/>
  <c r="W71" i="2"/>
  <c r="X105" i="2"/>
  <c r="Y105" i="2"/>
  <c r="U4" i="4"/>
  <c r="U7" i="4" s="1"/>
  <c r="U14" i="4" s="1"/>
  <c r="X72" i="2"/>
  <c r="X68" i="2"/>
  <c r="W26" i="4"/>
  <c r="W72" i="2"/>
  <c r="W73" i="2"/>
  <c r="V6" i="4"/>
  <c r="U53" i="2"/>
  <c r="V29" i="2"/>
  <c r="V6" i="2"/>
  <c r="V13" i="2" s="1"/>
  <c r="V4" i="4" s="1"/>
  <c r="V52" i="2"/>
  <c r="V85" i="2"/>
  <c r="V79" i="2"/>
  <c r="V113" i="2"/>
  <c r="V46" i="2"/>
  <c r="R20" i="3"/>
  <c r="R59" i="3" s="1"/>
  <c r="R70" i="3"/>
  <c r="V103" i="2"/>
  <c r="V105" i="2" s="1"/>
  <c r="U105" i="2"/>
  <c r="U15" i="2"/>
  <c r="Y90" i="2" s="1"/>
  <c r="T112" i="2"/>
  <c r="T113" i="2" s="1"/>
  <c r="T115" i="2"/>
  <c r="Y116" i="2" s="1"/>
  <c r="Y117" i="2" s="1"/>
  <c r="T103" i="2"/>
  <c r="T85" i="2"/>
  <c r="X73" i="2" l="1"/>
  <c r="AA68" i="2"/>
  <c r="AA73" i="2" s="1"/>
  <c r="AA71" i="2"/>
  <c r="AA66" i="2"/>
  <c r="AA72" i="2" s="1"/>
  <c r="AB32" i="4"/>
  <c r="Z26" i="4"/>
  <c r="Z52" i="4" s="1"/>
  <c r="Y26" i="4"/>
  <c r="Y32" i="4" s="1"/>
  <c r="AA26" i="4"/>
  <c r="Y46" i="4"/>
  <c r="Y58" i="4"/>
  <c r="Y60" i="4" s="1"/>
  <c r="V7" i="4"/>
  <c r="V14" i="4" s="1"/>
  <c r="V16" i="4" s="1"/>
  <c r="U70" i="2"/>
  <c r="U63" i="2" s="1"/>
  <c r="U66" i="2" s="1"/>
  <c r="U68" i="2" s="1"/>
  <c r="X32" i="4"/>
  <c r="W32" i="4"/>
  <c r="U16" i="4"/>
  <c r="V53" i="2"/>
  <c r="V89" i="2"/>
  <c r="V15" i="2"/>
  <c r="V70" i="2" s="1"/>
  <c r="U17" i="2"/>
  <c r="U19" i="2" s="1"/>
  <c r="U21" i="2" s="1"/>
  <c r="T5" i="4"/>
  <c r="S115" i="2"/>
  <c r="X116" i="2" s="1"/>
  <c r="X117" i="2" s="1"/>
  <c r="Z32" i="4" l="1"/>
  <c r="AA32" i="4"/>
  <c r="AB54" i="4"/>
  <c r="Z54" i="4"/>
  <c r="AA52" i="4"/>
  <c r="AA54" i="4" s="1"/>
  <c r="V95" i="2"/>
  <c r="V97" i="2"/>
  <c r="Y95" i="2"/>
  <c r="Y97" i="2"/>
  <c r="Y47" i="4"/>
  <c r="Y48" i="4" s="1"/>
  <c r="V90" i="2"/>
  <c r="V17" i="2"/>
  <c r="V19" i="2" s="1"/>
  <c r="V21" i="2" s="1"/>
  <c r="V41" i="2" s="1"/>
  <c r="V54" i="2" s="1"/>
  <c r="U41" i="2"/>
  <c r="U54" i="2" s="1"/>
  <c r="U71" i="2"/>
  <c r="T6" i="4"/>
  <c r="V96" i="2" l="1"/>
  <c r="V98" i="2"/>
  <c r="Y96" i="2"/>
  <c r="Y98" i="2"/>
  <c r="U73" i="2"/>
  <c r="U72" i="2"/>
  <c r="Q12" i="3"/>
  <c r="Q18" i="3"/>
  <c r="T59" i="4"/>
  <c r="T3" i="4"/>
  <c r="T45" i="4" s="1"/>
  <c r="T51" i="4" s="1"/>
  <c r="T57" i="4" s="1"/>
  <c r="Q69" i="3"/>
  <c r="Q68" i="3"/>
  <c r="Q67" i="3"/>
  <c r="Q66" i="3"/>
  <c r="Q39" i="3"/>
  <c r="Q56" i="3" s="1"/>
  <c r="Q63" i="3" s="1"/>
  <c r="Q34" i="3"/>
  <c r="Q29" i="3"/>
  <c r="T104" i="2"/>
  <c r="T105" i="2" s="1"/>
  <c r="T79" i="2"/>
  <c r="T69" i="2"/>
  <c r="T52" i="2"/>
  <c r="T46" i="2"/>
  <c r="T29" i="2"/>
  <c r="T26" i="2"/>
  <c r="T6" i="2"/>
  <c r="K69" i="3"/>
  <c r="L69" i="3"/>
  <c r="M69" i="3"/>
  <c r="N69" i="3"/>
  <c r="O69" i="3"/>
  <c r="T13" i="2" l="1"/>
  <c r="T40" i="2"/>
  <c r="Q70" i="3"/>
  <c r="Q20" i="3"/>
  <c r="Q59" i="3" s="1"/>
  <c r="T53" i="2"/>
  <c r="X89" i="2" l="1"/>
  <c r="X95" i="2" s="1"/>
  <c r="T15" i="2"/>
  <c r="T70" i="2" s="1"/>
  <c r="T61" i="2"/>
  <c r="T4" i="4"/>
  <c r="T7" i="4" s="1"/>
  <c r="T14" i="4" s="1"/>
  <c r="P69" i="3"/>
  <c r="R85" i="2"/>
  <c r="P66" i="3"/>
  <c r="S103" i="2"/>
  <c r="S3" i="4"/>
  <c r="S45" i="4" s="1"/>
  <c r="S51" i="4" s="1"/>
  <c r="S57" i="4" s="1"/>
  <c r="S59" i="4"/>
  <c r="S6" i="4"/>
  <c r="S5" i="4"/>
  <c r="P39" i="3"/>
  <c r="P56" i="3" s="1"/>
  <c r="P63" i="3" s="1"/>
  <c r="P68" i="3"/>
  <c r="P67" i="3"/>
  <c r="P34" i="3"/>
  <c r="P29" i="3"/>
  <c r="P18" i="3"/>
  <c r="P12" i="3"/>
  <c r="S26" i="2"/>
  <c r="S40" i="2" s="1"/>
  <c r="S61" i="2" s="1"/>
  <c r="S76" i="2" s="1"/>
  <c r="S82" i="2" s="1"/>
  <c r="S88" i="2" s="1"/>
  <c r="S102" i="2" s="1"/>
  <c r="S109" i="2" s="1"/>
  <c r="S112" i="2"/>
  <c r="S113" i="2" s="1"/>
  <c r="S104" i="2"/>
  <c r="S85" i="2"/>
  <c r="S79" i="2"/>
  <c r="S69" i="2"/>
  <c r="S52" i="2"/>
  <c r="S46" i="2"/>
  <c r="S29" i="2"/>
  <c r="S6" i="2"/>
  <c r="S13" i="2" s="1"/>
  <c r="W89" i="2" s="1"/>
  <c r="W97" i="2" s="1"/>
  <c r="G68" i="3"/>
  <c r="H68" i="3"/>
  <c r="I68" i="3"/>
  <c r="J68" i="3"/>
  <c r="K68" i="3"/>
  <c r="L68" i="3"/>
  <c r="M68" i="3"/>
  <c r="N68" i="3"/>
  <c r="O68" i="3"/>
  <c r="G67" i="3"/>
  <c r="H67" i="3"/>
  <c r="I67" i="3"/>
  <c r="J67" i="3"/>
  <c r="K67" i="3"/>
  <c r="L67" i="3"/>
  <c r="M67" i="3"/>
  <c r="N67" i="3"/>
  <c r="O67" i="3"/>
  <c r="G66" i="3"/>
  <c r="H66" i="3"/>
  <c r="I66" i="3"/>
  <c r="J66" i="3"/>
  <c r="K66" i="3"/>
  <c r="L66" i="3"/>
  <c r="M66" i="3"/>
  <c r="N66" i="3"/>
  <c r="O66" i="3"/>
  <c r="Q115" i="2"/>
  <c r="V116" i="2" s="1"/>
  <c r="V117" i="2" s="1"/>
  <c r="P115" i="2"/>
  <c r="O115" i="2"/>
  <c r="T116" i="2" s="1"/>
  <c r="N115" i="2"/>
  <c r="S116" i="2" s="1"/>
  <c r="S117" i="2" s="1"/>
  <c r="M115" i="2"/>
  <c r="L115" i="2"/>
  <c r="K115" i="2"/>
  <c r="J115" i="2"/>
  <c r="I115" i="2"/>
  <c r="H115" i="2"/>
  <c r="G115" i="2"/>
  <c r="F115" i="2"/>
  <c r="E115" i="2"/>
  <c r="D115" i="2"/>
  <c r="C115" i="2"/>
  <c r="Q104" i="2"/>
  <c r="P104" i="2"/>
  <c r="O104" i="2"/>
  <c r="N104" i="2"/>
  <c r="M104" i="2"/>
  <c r="L104" i="2"/>
  <c r="K104" i="2"/>
  <c r="J104" i="2"/>
  <c r="I104" i="2"/>
  <c r="H104" i="2"/>
  <c r="G104" i="2"/>
  <c r="F104" i="2"/>
  <c r="E104" i="2"/>
  <c r="D104" i="2"/>
  <c r="C104" i="2"/>
  <c r="X97" i="2" l="1"/>
  <c r="W47" i="4"/>
  <c r="W95" i="2"/>
  <c r="X47" i="4"/>
  <c r="U116" i="2"/>
  <c r="U117" i="2" s="1"/>
  <c r="T17" i="2"/>
  <c r="T19" i="2" s="1"/>
  <c r="X90" i="2"/>
  <c r="X46" i="4"/>
  <c r="X58" i="4"/>
  <c r="T16" i="4"/>
  <c r="T63" i="2"/>
  <c r="T71" i="2" s="1"/>
  <c r="T117" i="2"/>
  <c r="S4" i="4"/>
  <c r="S7" i="4" s="1"/>
  <c r="S14" i="4" s="1"/>
  <c r="W46" i="4" s="1"/>
  <c r="T76" i="2"/>
  <c r="P70" i="3"/>
  <c r="P20" i="3"/>
  <c r="P59" i="3" s="1"/>
  <c r="S105" i="2"/>
  <c r="S53" i="2"/>
  <c r="S15" i="2"/>
  <c r="W90" i="2" s="1"/>
  <c r="W96" i="2" l="1"/>
  <c r="W98" i="2"/>
  <c r="X96" i="2"/>
  <c r="X98" i="2"/>
  <c r="X60" i="4"/>
  <c r="X48" i="4"/>
  <c r="W48" i="4"/>
  <c r="W58" i="4"/>
  <c r="T66" i="2"/>
  <c r="T72" i="2" s="1"/>
  <c r="T82" i="2"/>
  <c r="T21" i="2"/>
  <c r="S16" i="4"/>
  <c r="S70" i="2"/>
  <c r="S63" i="2" s="1"/>
  <c r="S17" i="2"/>
  <c r="S19" i="2" s="1"/>
  <c r="S21" i="2" s="1"/>
  <c r="R115" i="2"/>
  <c r="W116" i="2" s="1"/>
  <c r="W117" i="2" s="1"/>
  <c r="R104" i="2"/>
  <c r="R59" i="4"/>
  <c r="T68" i="2" l="1"/>
  <c r="T73" i="2" s="1"/>
  <c r="W60" i="4"/>
  <c r="T41" i="2"/>
  <c r="S41" i="2"/>
  <c r="S54" i="2" s="1"/>
  <c r="T88" i="2"/>
  <c r="S71" i="2"/>
  <c r="S66" i="2"/>
  <c r="R6" i="4"/>
  <c r="R5" i="4"/>
  <c r="O70" i="3"/>
  <c r="O34" i="3"/>
  <c r="O29" i="3"/>
  <c r="O18" i="3"/>
  <c r="O12" i="3"/>
  <c r="R116" i="2"/>
  <c r="R117" i="2" s="1"/>
  <c r="R112" i="2"/>
  <c r="R113" i="2" s="1"/>
  <c r="R103" i="2"/>
  <c r="R105" i="2" s="1"/>
  <c r="R79" i="2"/>
  <c r="R69" i="2"/>
  <c r="V69" i="2" s="1"/>
  <c r="R52" i="2"/>
  <c r="R46" i="2"/>
  <c r="R29" i="2"/>
  <c r="R6" i="2"/>
  <c r="R13" i="2" s="1"/>
  <c r="Q45" i="2"/>
  <c r="R4" i="4" l="1"/>
  <c r="R7" i="4" s="1"/>
  <c r="R14" i="4" s="1"/>
  <c r="U58" i="4" s="1"/>
  <c r="U89" i="2"/>
  <c r="U97" i="2" s="1"/>
  <c r="T102" i="2"/>
  <c r="T54" i="2"/>
  <c r="S68" i="2"/>
  <c r="S73" i="2" s="1"/>
  <c r="S72" i="2"/>
  <c r="O20" i="3"/>
  <c r="O59" i="3" s="1"/>
  <c r="R53" i="2"/>
  <c r="R44" i="3" s="1"/>
  <c r="R15" i="2"/>
  <c r="U90" i="2" s="1"/>
  <c r="U98" i="2" s="1"/>
  <c r="Q112" i="2"/>
  <c r="Q113" i="2" s="1"/>
  <c r="Q59" i="4"/>
  <c r="Q15" i="4"/>
  <c r="Q13" i="4"/>
  <c r="Q12" i="4"/>
  <c r="Q11" i="4"/>
  <c r="Q10" i="4"/>
  <c r="Q9" i="4"/>
  <c r="Q8" i="4"/>
  <c r="Q116" i="2"/>
  <c r="Q117" i="2" s="1"/>
  <c r="Q85" i="2"/>
  <c r="Q79" i="2"/>
  <c r="Q67" i="2"/>
  <c r="Q65" i="2"/>
  <c r="Q64" i="2"/>
  <c r="Q5" i="4" s="1"/>
  <c r="Q51" i="2"/>
  <c r="Q50" i="2"/>
  <c r="Q49" i="2"/>
  <c r="Q48" i="2"/>
  <c r="Q44" i="2"/>
  <c r="Q46" i="2" s="1"/>
  <c r="Q29" i="2"/>
  <c r="Q23" i="2"/>
  <c r="Q22" i="2"/>
  <c r="Q20" i="2"/>
  <c r="Q18" i="2"/>
  <c r="Q16" i="2"/>
  <c r="Q14" i="2"/>
  <c r="Q12" i="2"/>
  <c r="Q11" i="2"/>
  <c r="Q10" i="2"/>
  <c r="Q9" i="2"/>
  <c r="Q8" i="2"/>
  <c r="Q7" i="2"/>
  <c r="Q5" i="2"/>
  <c r="Q6" i="2" s="1"/>
  <c r="P57" i="4"/>
  <c r="P51" i="4"/>
  <c r="P45" i="4"/>
  <c r="P59" i="4"/>
  <c r="P6" i="4"/>
  <c r="P5" i="4"/>
  <c r="Q6" i="4" l="1"/>
  <c r="U46" i="4"/>
  <c r="U47" i="4"/>
  <c r="V47" i="4" s="1"/>
  <c r="U95" i="2"/>
  <c r="P44" i="3"/>
  <c r="O44" i="3"/>
  <c r="Q44" i="3"/>
  <c r="T109" i="2"/>
  <c r="R16" i="4"/>
  <c r="T21" i="4" s="1"/>
  <c r="R17" i="2"/>
  <c r="R19" i="2" s="1"/>
  <c r="R21" i="2" s="1"/>
  <c r="R70" i="2"/>
  <c r="Q52" i="2"/>
  <c r="Q53" i="2" s="1"/>
  <c r="N44" i="3" s="1"/>
  <c r="Q13" i="2"/>
  <c r="Q4" i="4" s="1"/>
  <c r="Q103" i="2"/>
  <c r="Q105" i="2" s="1"/>
  <c r="N70" i="3"/>
  <c r="N58" i="3"/>
  <c r="N34" i="3"/>
  <c r="N29" i="3"/>
  <c r="N18" i="3"/>
  <c r="N12" i="3"/>
  <c r="P103" i="2"/>
  <c r="P105" i="2" s="1"/>
  <c r="P116" i="2"/>
  <c r="P117" i="2" s="1"/>
  <c r="P112" i="2"/>
  <c r="P113" i="2" s="1"/>
  <c r="P109" i="2"/>
  <c r="P102" i="2"/>
  <c r="P88" i="2"/>
  <c r="P85" i="2"/>
  <c r="P82" i="2"/>
  <c r="P79" i="2"/>
  <c r="P76" i="2"/>
  <c r="P69" i="2"/>
  <c r="P61" i="2"/>
  <c r="P52" i="2"/>
  <c r="P46" i="2"/>
  <c r="P40" i="2"/>
  <c r="P29" i="2"/>
  <c r="P26" i="2"/>
  <c r="P6" i="2"/>
  <c r="P13" i="2" s="1"/>
  <c r="L67" i="2"/>
  <c r="R63" i="2" l="1"/>
  <c r="R71" i="2" s="1"/>
  <c r="Q7" i="4"/>
  <c r="T26" i="4"/>
  <c r="T32" i="4" s="1"/>
  <c r="T37" i="4" s="1"/>
  <c r="U21" i="4"/>
  <c r="V58" i="4"/>
  <c r="V60" i="4" s="1"/>
  <c r="U60" i="4"/>
  <c r="V46" i="4"/>
  <c r="V48" i="4" s="1"/>
  <c r="U48" i="4"/>
  <c r="R41" i="2"/>
  <c r="R21" i="4"/>
  <c r="R26" i="4" s="1"/>
  <c r="R32" i="4" s="1"/>
  <c r="R37" i="4" s="1"/>
  <c r="S21" i="4"/>
  <c r="S26" i="4" s="1"/>
  <c r="P4" i="4"/>
  <c r="T89" i="2"/>
  <c r="T97" i="2" s="1"/>
  <c r="Q15" i="2"/>
  <c r="Q89" i="2"/>
  <c r="Q97" i="2" s="1"/>
  <c r="N36" i="3"/>
  <c r="N20" i="3"/>
  <c r="N59" i="3" s="1"/>
  <c r="N60" i="3" s="1"/>
  <c r="P53" i="2"/>
  <c r="P15" i="2"/>
  <c r="T90" i="2" s="1"/>
  <c r="T98" i="2" s="1"/>
  <c r="R66" i="2" l="1"/>
  <c r="R68" i="2" s="1"/>
  <c r="R73" i="2" s="1"/>
  <c r="V63" i="2"/>
  <c r="V71" i="2" s="1"/>
  <c r="P7" i="4"/>
  <c r="Q14" i="4"/>
  <c r="V21" i="4"/>
  <c r="V26" i="4" s="1"/>
  <c r="U26" i="4"/>
  <c r="U52" i="4" s="1"/>
  <c r="Q17" i="2"/>
  <c r="Q19" i="2" s="1"/>
  <c r="Q21" i="2" s="1"/>
  <c r="Q41" i="2" s="1"/>
  <c r="Q54" i="2" s="1"/>
  <c r="U96" i="2"/>
  <c r="T96" i="2"/>
  <c r="T95" i="2"/>
  <c r="T47" i="4"/>
  <c r="S32" i="4"/>
  <c r="S37" i="4" s="1"/>
  <c r="R54" i="2"/>
  <c r="Q70" i="2"/>
  <c r="Q90" i="2"/>
  <c r="Q95" i="2"/>
  <c r="Q47" i="4"/>
  <c r="P70" i="2"/>
  <c r="P63" i="2" s="1"/>
  <c r="P17" i="2"/>
  <c r="P19" i="2" s="1"/>
  <c r="P21" i="2" s="1"/>
  <c r="P41" i="2" s="1"/>
  <c r="O59" i="4"/>
  <c r="O6" i="4"/>
  <c r="O5" i="4"/>
  <c r="M70" i="3"/>
  <c r="M58" i="3"/>
  <c r="M34" i="3"/>
  <c r="M29" i="3"/>
  <c r="M18" i="3"/>
  <c r="M12" i="3"/>
  <c r="O103" i="2"/>
  <c r="O105" i="2" s="1"/>
  <c r="O109" i="2"/>
  <c r="O102" i="2"/>
  <c r="O88" i="2"/>
  <c r="O82" i="2"/>
  <c r="O76" i="2"/>
  <c r="O61" i="2"/>
  <c r="O40" i="2"/>
  <c r="O26" i="2"/>
  <c r="O116" i="2"/>
  <c r="O112" i="2"/>
  <c r="O113" i="2" s="1"/>
  <c r="O85" i="2"/>
  <c r="O79" i="2"/>
  <c r="O69" i="2"/>
  <c r="O52" i="2"/>
  <c r="O46" i="2"/>
  <c r="O29" i="2"/>
  <c r="O6" i="2"/>
  <c r="O13" i="2" s="1"/>
  <c r="S89" i="2" s="1"/>
  <c r="K29" i="2"/>
  <c r="V68" i="2" l="1"/>
  <c r="V73" i="2" s="1"/>
  <c r="R72" i="2"/>
  <c r="S97" i="2"/>
  <c r="S95" i="2"/>
  <c r="Y52" i="4"/>
  <c r="Y54" i="4" s="1"/>
  <c r="Q96" i="2"/>
  <c r="Q98" i="2"/>
  <c r="V66" i="2"/>
  <c r="V72" i="2" s="1"/>
  <c r="W52" i="4"/>
  <c r="X52" i="4"/>
  <c r="V32" i="4"/>
  <c r="V37" i="4" s="1"/>
  <c r="W20" i="4" s="1"/>
  <c r="Q46" i="4"/>
  <c r="Q48" i="4" s="1"/>
  <c r="Q16" i="4"/>
  <c r="Q58" i="4"/>
  <c r="P14" i="4"/>
  <c r="U32" i="4"/>
  <c r="U37" i="4" s="1"/>
  <c r="S47" i="4"/>
  <c r="P54" i="2"/>
  <c r="P71" i="2"/>
  <c r="P66" i="2"/>
  <c r="O4" i="4"/>
  <c r="O7" i="4" s="1"/>
  <c r="O14" i="4" s="1"/>
  <c r="M36" i="3"/>
  <c r="M20" i="3"/>
  <c r="M59" i="3" s="1"/>
  <c r="M60" i="3" s="1"/>
  <c r="O53" i="2"/>
  <c r="O15" i="2"/>
  <c r="S90" i="2" s="1"/>
  <c r="L65" i="2"/>
  <c r="X20" i="4" l="1"/>
  <c r="Y20" i="4" s="1"/>
  <c r="Y37" i="4" s="1"/>
  <c r="AA20" i="4"/>
  <c r="AA37" i="4" s="1"/>
  <c r="Z20" i="4"/>
  <c r="Z37" i="4" s="1"/>
  <c r="S96" i="2"/>
  <c r="S98" i="2"/>
  <c r="X54" i="4"/>
  <c r="W54" i="4"/>
  <c r="W37" i="4"/>
  <c r="X37" i="4" s="1"/>
  <c r="T46" i="4"/>
  <c r="T48" i="4" s="1"/>
  <c r="P16" i="4"/>
  <c r="T58" i="4"/>
  <c r="T60" i="4" s="1"/>
  <c r="Q21" i="4"/>
  <c r="Q60" i="4"/>
  <c r="V52" i="4"/>
  <c r="V54" i="4" s="1"/>
  <c r="U54" i="4"/>
  <c r="S46" i="4"/>
  <c r="S48" i="4" s="1"/>
  <c r="S58" i="4"/>
  <c r="S60" i="4" s="1"/>
  <c r="P72" i="2"/>
  <c r="P68" i="2"/>
  <c r="P73" i="2" s="1"/>
  <c r="O16" i="4"/>
  <c r="O70" i="2"/>
  <c r="O63" i="2" s="1"/>
  <c r="O17" i="2"/>
  <c r="O19" i="2" s="1"/>
  <c r="O21" i="2" s="1"/>
  <c r="AB20" i="4" l="1"/>
  <c r="AB37" i="4" s="1"/>
  <c r="Q26" i="4"/>
  <c r="O71" i="2"/>
  <c r="O66" i="2"/>
  <c r="O68" i="2" s="1"/>
  <c r="O117" i="2"/>
  <c r="O41" i="2"/>
  <c r="G67" i="2"/>
  <c r="G65" i="2"/>
  <c r="Q52" i="4" l="1"/>
  <c r="Q32" i="4"/>
  <c r="O54" i="2"/>
  <c r="O73" i="2"/>
  <c r="O72" i="2"/>
  <c r="N59" i="4"/>
  <c r="Q54" i="4" l="1"/>
  <c r="Q37" i="4"/>
  <c r="N6" i="4"/>
  <c r="N5" i="4"/>
  <c r="L70" i="3"/>
  <c r="L58" i="3"/>
  <c r="L34" i="3"/>
  <c r="L29" i="3"/>
  <c r="L18" i="3"/>
  <c r="L12" i="3"/>
  <c r="N103" i="2"/>
  <c r="N105" i="2" s="1"/>
  <c r="N85" i="2"/>
  <c r="N79" i="2"/>
  <c r="N69" i="2"/>
  <c r="N52" i="2"/>
  <c r="N46" i="2"/>
  <c r="N6" i="2"/>
  <c r="N13" i="2" s="1"/>
  <c r="R89" i="2" s="1"/>
  <c r="R97" i="2" s="1"/>
  <c r="Q38" i="4" l="1"/>
  <c r="R47" i="4"/>
  <c r="R95" i="2"/>
  <c r="N4" i="4"/>
  <c r="N7" i="4" s="1"/>
  <c r="N14" i="4" s="1"/>
  <c r="L36" i="3"/>
  <c r="L20" i="3"/>
  <c r="L59" i="3" s="1"/>
  <c r="L60" i="3" s="1"/>
  <c r="N53" i="2"/>
  <c r="N15" i="2"/>
  <c r="R90" i="2" s="1"/>
  <c r="C6" i="4"/>
  <c r="D6" i="4"/>
  <c r="E6" i="4"/>
  <c r="F6" i="4"/>
  <c r="G6" i="4"/>
  <c r="H6" i="4"/>
  <c r="I6" i="4"/>
  <c r="J6" i="4"/>
  <c r="K6" i="4"/>
  <c r="L6" i="4"/>
  <c r="M6" i="4"/>
  <c r="R96" i="2" l="1"/>
  <c r="R98" i="2"/>
  <c r="R46" i="4"/>
  <c r="R48" i="4" s="1"/>
  <c r="R58" i="4"/>
  <c r="R60" i="4" s="1"/>
  <c r="N16" i="4"/>
  <c r="N17" i="2"/>
  <c r="N19" i="2" s="1"/>
  <c r="N70" i="2"/>
  <c r="N63" i="2" s="1"/>
  <c r="N66" i="2" l="1"/>
  <c r="N72" i="2" s="1"/>
  <c r="N71" i="2"/>
  <c r="N29" i="2"/>
  <c r="N21" i="2"/>
  <c r="M5" i="4"/>
  <c r="K70" i="3"/>
  <c r="K58" i="3"/>
  <c r="K34" i="3"/>
  <c r="K29" i="3"/>
  <c r="K18" i="3"/>
  <c r="K12" i="3"/>
  <c r="M103" i="2"/>
  <c r="N68" i="2" l="1"/>
  <c r="N73" i="2" s="1"/>
  <c r="N41" i="2"/>
  <c r="K36" i="3"/>
  <c r="K20" i="3"/>
  <c r="K59" i="3" s="1"/>
  <c r="K60" i="3" s="1"/>
  <c r="N54" i="2" l="1"/>
  <c r="M69" i="2"/>
  <c r="Q69" i="2" s="1"/>
  <c r="M105" i="2"/>
  <c r="M85" i="2"/>
  <c r="M79" i="2"/>
  <c r="M52" i="2"/>
  <c r="M46" i="2"/>
  <c r="M6" i="2"/>
  <c r="M13" i="2" s="1"/>
  <c r="P89" i="2" s="1"/>
  <c r="P97" i="2" s="1"/>
  <c r="P47" i="4" l="1"/>
  <c r="P95" i="2"/>
  <c r="M15" i="2"/>
  <c r="M4" i="4"/>
  <c r="M7" i="4" s="1"/>
  <c r="M14" i="4" s="1"/>
  <c r="M53" i="2"/>
  <c r="K103" i="2"/>
  <c r="M44" i="3" l="1"/>
  <c r="L44" i="3"/>
  <c r="M17" i="2"/>
  <c r="M19" i="2" s="1"/>
  <c r="M21" i="2" s="1"/>
  <c r="P90" i="2"/>
  <c r="P46" i="4"/>
  <c r="P58" i="4"/>
  <c r="M16" i="4"/>
  <c r="K44" i="3"/>
  <c r="M70" i="2"/>
  <c r="M29" i="2"/>
  <c r="L44" i="2"/>
  <c r="L85" i="2"/>
  <c r="L79" i="2"/>
  <c r="L64" i="2"/>
  <c r="L51" i="2"/>
  <c r="L50" i="2"/>
  <c r="L49" i="2"/>
  <c r="L48" i="2"/>
  <c r="L45" i="2"/>
  <c r="L23" i="2"/>
  <c r="L22" i="2"/>
  <c r="L20" i="2"/>
  <c r="L18" i="2"/>
  <c r="L16" i="2"/>
  <c r="L14" i="2"/>
  <c r="L12" i="2"/>
  <c r="L11" i="2"/>
  <c r="L10" i="2"/>
  <c r="L9" i="2"/>
  <c r="L8" i="2"/>
  <c r="L7" i="2"/>
  <c r="L5" i="2"/>
  <c r="L4" i="2"/>
  <c r="L15" i="4"/>
  <c r="L13" i="4"/>
  <c r="L12" i="4"/>
  <c r="L11" i="4"/>
  <c r="L10" i="4"/>
  <c r="L9" i="4"/>
  <c r="L8" i="4"/>
  <c r="K5" i="4"/>
  <c r="J70" i="3"/>
  <c r="J58" i="3"/>
  <c r="J34" i="3"/>
  <c r="J29" i="3"/>
  <c r="J18" i="3"/>
  <c r="J12" i="3"/>
  <c r="K105" i="2"/>
  <c r="K85" i="2"/>
  <c r="K79" i="2"/>
  <c r="K69" i="2"/>
  <c r="K52" i="2"/>
  <c r="K46" i="2"/>
  <c r="K6" i="2"/>
  <c r="K13" i="2" s="1"/>
  <c r="O89" i="2" s="1"/>
  <c r="O97" i="2" s="1"/>
  <c r="P96" i="2" l="1"/>
  <c r="P98" i="2"/>
  <c r="P48" i="4"/>
  <c r="P60" i="4"/>
  <c r="O47" i="4"/>
  <c r="O95" i="2"/>
  <c r="O21" i="4"/>
  <c r="O26" i="4" s="1"/>
  <c r="T52" i="4" s="1"/>
  <c r="P21" i="4"/>
  <c r="K4" i="4"/>
  <c r="K7" i="4" s="1"/>
  <c r="K14" i="4" s="1"/>
  <c r="L5" i="4"/>
  <c r="M41" i="2"/>
  <c r="M21" i="4"/>
  <c r="M26" i="4" s="1"/>
  <c r="R52" i="4" s="1"/>
  <c r="N21" i="4"/>
  <c r="N26" i="4" s="1"/>
  <c r="M63" i="2"/>
  <c r="Q63" i="2" s="1"/>
  <c r="L103" i="2"/>
  <c r="L105" i="2" s="1"/>
  <c r="L52" i="2"/>
  <c r="L6" i="2"/>
  <c r="L13" i="2" s="1"/>
  <c r="L46" i="2"/>
  <c r="J36" i="3"/>
  <c r="J20" i="3"/>
  <c r="J59" i="3" s="1"/>
  <c r="J60" i="3" s="1"/>
  <c r="K53" i="2"/>
  <c r="K15" i="2"/>
  <c r="O90" i="2" s="1"/>
  <c r="O96" i="2" l="1"/>
  <c r="O98" i="2"/>
  <c r="P26" i="4"/>
  <c r="N32" i="4"/>
  <c r="N37" i="4" s="1"/>
  <c r="N38" i="4" s="1"/>
  <c r="S52" i="4"/>
  <c r="S54" i="4" s="1"/>
  <c r="O32" i="4"/>
  <c r="O37" i="4" s="1"/>
  <c r="O38" i="4" s="1"/>
  <c r="T54" i="4"/>
  <c r="M32" i="4"/>
  <c r="M37" i="4" s="1"/>
  <c r="M38" i="4" s="1"/>
  <c r="R54" i="4"/>
  <c r="Q66" i="2"/>
  <c r="Q72" i="2" s="1"/>
  <c r="Q71" i="2"/>
  <c r="O58" i="4"/>
  <c r="O60" i="4" s="1"/>
  <c r="O46" i="4"/>
  <c r="O48" i="4" s="1"/>
  <c r="M66" i="2"/>
  <c r="M72" i="2" s="1"/>
  <c r="L89" i="2"/>
  <c r="L97" i="2" s="1"/>
  <c r="M54" i="2"/>
  <c r="M71" i="2"/>
  <c r="K16" i="4"/>
  <c r="L53" i="2"/>
  <c r="L4" i="4"/>
  <c r="L7" i="4" s="1"/>
  <c r="L14" i="4" s="1"/>
  <c r="L58" i="4" s="1"/>
  <c r="L60" i="4" s="1"/>
  <c r="L15" i="2"/>
  <c r="L17" i="2" s="1"/>
  <c r="L19" i="2" s="1"/>
  <c r="K17" i="2"/>
  <c r="K19" i="2" s="1"/>
  <c r="K70" i="2"/>
  <c r="C5" i="4"/>
  <c r="D5" i="4"/>
  <c r="E5" i="4"/>
  <c r="F5" i="4"/>
  <c r="H5" i="4"/>
  <c r="I5" i="4"/>
  <c r="J5" i="4"/>
  <c r="J85" i="2"/>
  <c r="M116" i="2"/>
  <c r="N116" i="2"/>
  <c r="L116" i="2"/>
  <c r="K116" i="2"/>
  <c r="M112" i="2"/>
  <c r="M113" i="2" s="1"/>
  <c r="N112" i="2"/>
  <c r="N113" i="2" s="1"/>
  <c r="L112" i="2"/>
  <c r="L113" i="2" s="1"/>
  <c r="K112" i="2"/>
  <c r="K113" i="2" s="1"/>
  <c r="J103" i="2"/>
  <c r="J105" i="2" s="1"/>
  <c r="I103" i="2"/>
  <c r="H103" i="2"/>
  <c r="G64" i="2"/>
  <c r="G51" i="2"/>
  <c r="G50" i="2"/>
  <c r="G49" i="2"/>
  <c r="G48" i="2"/>
  <c r="G45" i="2"/>
  <c r="G44" i="2"/>
  <c r="P32" i="4" l="1"/>
  <c r="M68" i="2"/>
  <c r="Q68" i="2" s="1"/>
  <c r="Q73" i="2" s="1"/>
  <c r="L47" i="4"/>
  <c r="G5" i="4"/>
  <c r="L95" i="2"/>
  <c r="K63" i="2"/>
  <c r="K66" i="2" s="1"/>
  <c r="I116" i="2"/>
  <c r="J112" i="2"/>
  <c r="J113" i="2" s="1"/>
  <c r="I112" i="2"/>
  <c r="H116" i="2"/>
  <c r="H112" i="2"/>
  <c r="J116" i="2"/>
  <c r="L90" i="2"/>
  <c r="L70" i="2"/>
  <c r="L16" i="4"/>
  <c r="L21" i="4" s="1"/>
  <c r="L26" i="4" s="1"/>
  <c r="L46" i="4"/>
  <c r="L29" i="2"/>
  <c r="L21" i="2"/>
  <c r="K21" i="2"/>
  <c r="L96" i="2" l="1"/>
  <c r="L98" i="2"/>
  <c r="P37" i="4"/>
  <c r="K71" i="2"/>
  <c r="L48" i="4"/>
  <c r="M73" i="2"/>
  <c r="K68" i="2"/>
  <c r="K72" i="2"/>
  <c r="L32" i="4"/>
  <c r="L37" i="4" s="1"/>
  <c r="L38" i="4" s="1"/>
  <c r="L52" i="4"/>
  <c r="L54" i="4" s="1"/>
  <c r="L117" i="2"/>
  <c r="L41" i="2"/>
  <c r="L54" i="2" s="1"/>
  <c r="K41" i="2"/>
  <c r="P38" i="4" l="1"/>
  <c r="K73" i="2"/>
  <c r="K54" i="2"/>
  <c r="I70" i="3"/>
  <c r="I58" i="3"/>
  <c r="I34" i="3"/>
  <c r="I29" i="3"/>
  <c r="I18" i="3"/>
  <c r="I12" i="3"/>
  <c r="I36" i="3" l="1"/>
  <c r="I20" i="3"/>
  <c r="I59" i="3" s="1"/>
  <c r="I60" i="3" s="1"/>
  <c r="J79" i="2" l="1"/>
  <c r="J52" i="2"/>
  <c r="J46" i="2"/>
  <c r="J69" i="2"/>
  <c r="J6" i="2"/>
  <c r="J13" i="2" s="1"/>
  <c r="G15" i="4"/>
  <c r="C52" i="2"/>
  <c r="D52" i="2"/>
  <c r="E52" i="2"/>
  <c r="F52" i="2"/>
  <c r="H52" i="2"/>
  <c r="I52" i="2"/>
  <c r="C46" i="2"/>
  <c r="D46" i="2"/>
  <c r="E46" i="2"/>
  <c r="F46" i="2"/>
  <c r="H46" i="2"/>
  <c r="I46" i="2"/>
  <c r="C6" i="2"/>
  <c r="C13" i="2" s="1"/>
  <c r="D6" i="2"/>
  <c r="D13" i="2" s="1"/>
  <c r="E6" i="2"/>
  <c r="E13" i="2" s="1"/>
  <c r="F6" i="2"/>
  <c r="F13" i="2" s="1"/>
  <c r="H6" i="2"/>
  <c r="H13" i="2" s="1"/>
  <c r="I6" i="2"/>
  <c r="I13" i="2" s="1"/>
  <c r="J4" i="4" l="1"/>
  <c r="J7" i="4" s="1"/>
  <c r="J14" i="4" s="1"/>
  <c r="N89" i="2"/>
  <c r="N97" i="2" s="1"/>
  <c r="I53" i="2"/>
  <c r="H53" i="2"/>
  <c r="F53" i="2"/>
  <c r="E53" i="2"/>
  <c r="D53" i="2"/>
  <c r="C53" i="2"/>
  <c r="F44" i="3" s="1"/>
  <c r="H15" i="2"/>
  <c r="K89" i="2"/>
  <c r="K97" i="2" s="1"/>
  <c r="H4" i="4"/>
  <c r="C15" i="2"/>
  <c r="C4" i="4"/>
  <c r="J15" i="2"/>
  <c r="N90" i="2" s="1"/>
  <c r="D15" i="2"/>
  <c r="D4" i="4"/>
  <c r="I15" i="2"/>
  <c r="M89" i="2"/>
  <c r="M97" i="2" s="1"/>
  <c r="I4" i="4"/>
  <c r="D97" i="2"/>
  <c r="F15" i="2"/>
  <c r="J89" i="2"/>
  <c r="J97" i="2" s="1"/>
  <c r="F4" i="4"/>
  <c r="E15" i="2"/>
  <c r="E4" i="4"/>
  <c r="I89" i="2"/>
  <c r="I97" i="2" s="1"/>
  <c r="H89" i="2"/>
  <c r="H97" i="2" s="1"/>
  <c r="F97" i="2"/>
  <c r="E97" i="2"/>
  <c r="J53" i="2"/>
  <c r="G13" i="4"/>
  <c r="G12" i="4"/>
  <c r="G11" i="4"/>
  <c r="G10" i="4"/>
  <c r="G9" i="4"/>
  <c r="G8" i="4"/>
  <c r="G23" i="2"/>
  <c r="G22" i="2"/>
  <c r="G20" i="2"/>
  <c r="G18" i="2"/>
  <c r="G16" i="2"/>
  <c r="G14" i="2"/>
  <c r="G12" i="2"/>
  <c r="G11" i="2"/>
  <c r="G10" i="2"/>
  <c r="G9" i="2"/>
  <c r="G8" i="2"/>
  <c r="G7" i="2"/>
  <c r="G5" i="2"/>
  <c r="G4" i="2"/>
  <c r="H70" i="3"/>
  <c r="H58" i="3"/>
  <c r="H34" i="3"/>
  <c r="H29" i="3"/>
  <c r="H18" i="3"/>
  <c r="H12" i="3"/>
  <c r="I105" i="2"/>
  <c r="I85" i="2"/>
  <c r="I79" i="2"/>
  <c r="I69" i="2"/>
  <c r="I44" i="3" l="1"/>
  <c r="H44" i="3"/>
  <c r="J44" i="3"/>
  <c r="N96" i="2"/>
  <c r="N98" i="2"/>
  <c r="F47" i="4"/>
  <c r="H47" i="4"/>
  <c r="D47" i="4"/>
  <c r="I47" i="4"/>
  <c r="E47" i="4"/>
  <c r="N47" i="4"/>
  <c r="N95" i="2"/>
  <c r="J16" i="4"/>
  <c r="N46" i="4"/>
  <c r="N58" i="4"/>
  <c r="N60" i="4" s="1"/>
  <c r="G44" i="3"/>
  <c r="C44" i="3"/>
  <c r="D44" i="3"/>
  <c r="E44" i="3"/>
  <c r="G6" i="2"/>
  <c r="G13" i="2" s="1"/>
  <c r="D17" i="2"/>
  <c r="D19" i="2" s="1"/>
  <c r="D70" i="2"/>
  <c r="C17" i="2"/>
  <c r="C19" i="2" s="1"/>
  <c r="C70" i="2"/>
  <c r="D98" i="2"/>
  <c r="J17" i="2"/>
  <c r="J19" i="2" s="1"/>
  <c r="J70" i="2"/>
  <c r="K47" i="4"/>
  <c r="K95" i="2"/>
  <c r="M95" i="2"/>
  <c r="M47" i="4"/>
  <c r="H17" i="2"/>
  <c r="H19" i="2" s="1"/>
  <c r="K90" i="2"/>
  <c r="H70" i="2"/>
  <c r="I17" i="2"/>
  <c r="I19" i="2" s="1"/>
  <c r="M90" i="2"/>
  <c r="I70" i="2"/>
  <c r="I63" i="2" s="1"/>
  <c r="I66" i="2" s="1"/>
  <c r="J95" i="2"/>
  <c r="J47" i="4"/>
  <c r="F17" i="2"/>
  <c r="F19" i="2" s="1"/>
  <c r="J90" i="2"/>
  <c r="F70" i="2"/>
  <c r="E17" i="2"/>
  <c r="E19" i="2" s="1"/>
  <c r="H90" i="2"/>
  <c r="H98" i="2" s="1"/>
  <c r="F98" i="2"/>
  <c r="E98" i="2"/>
  <c r="I90" i="2"/>
  <c r="I98" i="2" s="1"/>
  <c r="E70" i="2"/>
  <c r="H36" i="3"/>
  <c r="H20" i="3"/>
  <c r="H59" i="3" s="1"/>
  <c r="H60" i="3" s="1"/>
  <c r="K96" i="2" l="1"/>
  <c r="K98" i="2"/>
  <c r="M96" i="2"/>
  <c r="M98" i="2"/>
  <c r="J96" i="2"/>
  <c r="J98" i="2"/>
  <c r="N48" i="4"/>
  <c r="G15" i="2"/>
  <c r="G70" i="2" s="1"/>
  <c r="I68" i="2"/>
  <c r="I72" i="2"/>
  <c r="J63" i="2"/>
  <c r="J66" i="2" s="1"/>
  <c r="H21" i="2"/>
  <c r="E21" i="2"/>
  <c r="E29" i="2"/>
  <c r="J21" i="2"/>
  <c r="J29" i="2"/>
  <c r="C21" i="2"/>
  <c r="C43" i="3" s="1"/>
  <c r="C29" i="2"/>
  <c r="I21" i="2"/>
  <c r="F21" i="2"/>
  <c r="F29" i="2"/>
  <c r="D21" i="2"/>
  <c r="D29" i="2"/>
  <c r="G4" i="4"/>
  <c r="H79" i="2"/>
  <c r="D43" i="3" l="1"/>
  <c r="E43" i="3" s="1"/>
  <c r="G17" i="2"/>
  <c r="G19" i="2" s="1"/>
  <c r="J41" i="2"/>
  <c r="J54" i="2" s="1"/>
  <c r="N117" i="2"/>
  <c r="J68" i="2"/>
  <c r="J72" i="2"/>
  <c r="J71" i="2"/>
  <c r="M117" i="2"/>
  <c r="K117" i="2"/>
  <c r="J117" i="2"/>
  <c r="G21" i="2"/>
  <c r="F43" i="3" s="1"/>
  <c r="G29" i="2"/>
  <c r="I29" i="2"/>
  <c r="I71" i="2"/>
  <c r="G70" i="3"/>
  <c r="G58" i="3"/>
  <c r="G34" i="3"/>
  <c r="G29" i="3"/>
  <c r="G18" i="3"/>
  <c r="G12" i="3"/>
  <c r="H105" i="2"/>
  <c r="J73" i="2" l="1"/>
  <c r="G20" i="3"/>
  <c r="G59" i="3" s="1"/>
  <c r="G60" i="3" s="1"/>
  <c r="G36" i="3"/>
  <c r="I41" i="2"/>
  <c r="I73" i="2" l="1"/>
  <c r="I54" i="2"/>
  <c r="H85" i="2"/>
  <c r="F6" i="3" l="1"/>
  <c r="H69" i="2"/>
  <c r="L69" i="2" l="1"/>
  <c r="H63" i="2"/>
  <c r="H66" i="2" s="1"/>
  <c r="H72" i="2" s="1"/>
  <c r="E70" i="3"/>
  <c r="D70" i="3"/>
  <c r="C70" i="3"/>
  <c r="F70" i="3"/>
  <c r="H68" i="2" l="1"/>
  <c r="L68" i="2" s="1"/>
  <c r="L63" i="2"/>
  <c r="H71" i="2"/>
  <c r="H29" i="2"/>
  <c r="L71" i="2" l="1"/>
  <c r="L66" i="2"/>
  <c r="L72" i="2" s="1"/>
  <c r="H41" i="2"/>
  <c r="H73" i="2" l="1"/>
  <c r="L73" i="2"/>
  <c r="H54" i="2"/>
  <c r="F69" i="2"/>
  <c r="F63" i="2" s="1"/>
  <c r="F66" i="2" s="1"/>
  <c r="F68" i="2" l="1"/>
  <c r="F72" i="2"/>
  <c r="G79" i="2"/>
  <c r="F85" i="2" l="1"/>
  <c r="G85" i="2"/>
  <c r="F79" i="2" l="1"/>
  <c r="F58" i="3"/>
  <c r="F34" i="3"/>
  <c r="F29" i="3"/>
  <c r="F18" i="3"/>
  <c r="F12" i="3"/>
  <c r="F20" i="3" l="1"/>
  <c r="F59" i="3" s="1"/>
  <c r="F60" i="3" s="1"/>
  <c r="G52" i="2"/>
  <c r="G46" i="2"/>
  <c r="G103" i="2"/>
  <c r="G105" i="2" s="1"/>
  <c r="F105" i="2"/>
  <c r="F36" i="3"/>
  <c r="E85" i="2"/>
  <c r="E105" i="2"/>
  <c r="G53" i="2" l="1"/>
  <c r="G89" i="2"/>
  <c r="G97" i="2" s="1"/>
  <c r="E79" i="2"/>
  <c r="E69" i="2"/>
  <c r="E63" i="2" s="1"/>
  <c r="E66" i="2" s="1"/>
  <c r="E58" i="3"/>
  <c r="E34" i="3"/>
  <c r="E29" i="3"/>
  <c r="E18" i="3"/>
  <c r="E12" i="3"/>
  <c r="E68" i="2" l="1"/>
  <c r="E72" i="2"/>
  <c r="G95" i="2"/>
  <c r="G47" i="4"/>
  <c r="F71" i="2"/>
  <c r="I95" i="2"/>
  <c r="E20" i="3"/>
  <c r="E59" i="3" s="1"/>
  <c r="E60" i="3" s="1"/>
  <c r="E36" i="3"/>
  <c r="I96" i="2"/>
  <c r="F73" i="2" l="1"/>
  <c r="F41" i="2"/>
  <c r="F54" i="2" s="1"/>
  <c r="E71" i="2" l="1"/>
  <c r="D58" i="3"/>
  <c r="D34" i="3"/>
  <c r="D29" i="3"/>
  <c r="D18" i="3"/>
  <c r="D12" i="3"/>
  <c r="I113" i="2"/>
  <c r="D105" i="2"/>
  <c r="D85" i="2"/>
  <c r="D79" i="2"/>
  <c r="D69" i="2"/>
  <c r="D63" i="2" s="1"/>
  <c r="D66" i="2" s="1"/>
  <c r="D68" i="2" s="1"/>
  <c r="D72" i="2" l="1"/>
  <c r="I117" i="2"/>
  <c r="H95" i="2"/>
  <c r="E41" i="2"/>
  <c r="D36" i="3"/>
  <c r="D20" i="3"/>
  <c r="H96" i="2"/>
  <c r="E54" i="2" l="1"/>
  <c r="E73" i="2"/>
  <c r="D59" i="3"/>
  <c r="D60" i="3" s="1"/>
  <c r="D71" i="2" l="1"/>
  <c r="D41" i="2" l="1"/>
  <c r="D54" i="2" s="1"/>
  <c r="C105" i="2"/>
  <c r="D73" i="2" l="1"/>
  <c r="C85" i="2"/>
  <c r="H117" i="2" l="1"/>
  <c r="H113" i="2"/>
  <c r="C58" i="3" l="1"/>
  <c r="C34" i="3"/>
  <c r="C29" i="3"/>
  <c r="C18" i="3"/>
  <c r="C12" i="3"/>
  <c r="C79" i="2"/>
  <c r="C69" i="2"/>
  <c r="C36" i="3" l="1"/>
  <c r="G69" i="2"/>
  <c r="C63" i="2"/>
  <c r="C66" i="2" s="1"/>
  <c r="C72" i="2" s="1"/>
  <c r="C20" i="3"/>
  <c r="G66" i="2" l="1"/>
  <c r="G72" i="2" s="1"/>
  <c r="C68" i="2"/>
  <c r="G68" i="2" s="1"/>
  <c r="G63" i="2"/>
  <c r="C59" i="3"/>
  <c r="C60" i="3" s="1"/>
  <c r="F95" i="2" l="1"/>
  <c r="G113" i="2" l="1"/>
  <c r="F113" i="2"/>
  <c r="G90" i="2" l="1"/>
  <c r="F96" i="2"/>
  <c r="G71" i="2"/>
  <c r="C71" i="2"/>
  <c r="G96" i="2" l="1"/>
  <c r="G98" i="2"/>
  <c r="C41" i="2"/>
  <c r="C54" i="2" l="1"/>
  <c r="C73" i="2"/>
  <c r="G73" i="2"/>
  <c r="G41" i="2"/>
  <c r="G54" i="2" s="1"/>
  <c r="G117" i="2"/>
  <c r="F117" i="2"/>
  <c r="E96" i="2"/>
  <c r="E95" i="2"/>
  <c r="E113" i="2"/>
  <c r="C7" i="4" l="1"/>
  <c r="D95" i="2"/>
  <c r="D96" i="2"/>
  <c r="C14" i="4" l="1"/>
  <c r="E117" i="2"/>
  <c r="C16" i="4" l="1"/>
  <c r="C21" i="4" l="1"/>
  <c r="C26" i="4" s="1"/>
  <c r="C32" i="4" s="1"/>
  <c r="C37" i="4" s="1"/>
  <c r="C38" i="4" s="1"/>
  <c r="D117" i="2" l="1"/>
  <c r="D113" i="2"/>
  <c r="C113" i="2" l="1"/>
  <c r="C117" i="2" l="1"/>
  <c r="D7" i="4" l="1"/>
  <c r="D14" i="4" l="1"/>
  <c r="D16" i="4" l="1"/>
  <c r="D21" i="4" s="1"/>
  <c r="F7" i="4" l="1"/>
  <c r="F14" i="4" s="1"/>
  <c r="F16" i="4" l="1"/>
  <c r="E7" i="4" l="1"/>
  <c r="E14" i="4" s="1"/>
  <c r="E16" i="4" l="1"/>
  <c r="F46" i="4"/>
  <c r="D26" i="4"/>
  <c r="D32" i="4" l="1"/>
  <c r="D37" i="4" s="1"/>
  <c r="D38" i="4" s="1"/>
  <c r="F21" i="4"/>
  <c r="E21" i="4"/>
  <c r="G7" i="4"/>
  <c r="G14" i="4" s="1"/>
  <c r="G16" i="4" s="1"/>
  <c r="G58" i="4" l="1"/>
  <c r="G60" i="4" s="1"/>
  <c r="G21" i="4"/>
  <c r="G26" i="4" s="1"/>
  <c r="G46" i="4"/>
  <c r="G48" i="4" s="1"/>
  <c r="E26" i="4"/>
  <c r="E32" i="4" l="1"/>
  <c r="E37" i="4" s="1"/>
  <c r="E38" i="4" s="1"/>
  <c r="G32" i="4"/>
  <c r="G37" i="4" s="1"/>
  <c r="G38" i="4" s="1"/>
  <c r="G52" i="4"/>
  <c r="G54" i="4" s="1"/>
  <c r="C48" i="4"/>
  <c r="H7" i="4"/>
  <c r="H14" i="4" s="1"/>
  <c r="H16" i="4" l="1"/>
  <c r="H58" i="4"/>
  <c r="H60" i="4" s="1"/>
  <c r="H46" i="4"/>
  <c r="H48" i="4" s="1"/>
  <c r="D60" i="4"/>
  <c r="H21" i="4" l="1"/>
  <c r="H26" i="4" s="1"/>
  <c r="D48" i="4"/>
  <c r="H32" i="4" l="1"/>
  <c r="H37" i="4" s="1"/>
  <c r="H38" i="4" s="1"/>
  <c r="M52" i="4"/>
  <c r="M54" i="4" s="1"/>
  <c r="H52" i="4"/>
  <c r="H54" i="4" s="1"/>
  <c r="C54" i="4"/>
  <c r="E54" i="4"/>
  <c r="I7" i="4" l="1"/>
  <c r="I14" i="4" s="1"/>
  <c r="I16" i="4" l="1"/>
  <c r="M46" i="4"/>
  <c r="M48" i="4" s="1"/>
  <c r="M58" i="4"/>
  <c r="M60" i="4" s="1"/>
  <c r="K46" i="4"/>
  <c r="K48" i="4" s="1"/>
  <c r="I58" i="4"/>
  <c r="I60" i="4" s="1"/>
  <c r="K58" i="4"/>
  <c r="K60" i="4" s="1"/>
  <c r="J58" i="4"/>
  <c r="J60" i="4" s="1"/>
  <c r="I46" i="4"/>
  <c r="I48" i="4" s="1"/>
  <c r="J46" i="4"/>
  <c r="J48" i="4" s="1"/>
  <c r="E48" i="4"/>
  <c r="E60" i="4"/>
  <c r="F48" i="4"/>
  <c r="F60" i="4"/>
  <c r="K21" i="4" l="1"/>
  <c r="K26" i="4" s="1"/>
  <c r="P52" i="4" s="1"/>
  <c r="J21" i="4"/>
  <c r="J26" i="4" s="1"/>
  <c r="O52" i="4" s="1"/>
  <c r="I21" i="4"/>
  <c r="I26" i="4" s="1"/>
  <c r="N52" i="4" s="1"/>
  <c r="N54" i="4" s="1"/>
  <c r="F26" i="4"/>
  <c r="P54" i="4" l="1"/>
  <c r="J32" i="4"/>
  <c r="J37" i="4" s="1"/>
  <c r="J38" i="4" s="1"/>
  <c r="O54" i="4"/>
  <c r="I52" i="4"/>
  <c r="I54" i="4" s="1"/>
  <c r="I32" i="4"/>
  <c r="I37" i="4" s="1"/>
  <c r="I38" i="4" s="1"/>
  <c r="K52" i="4"/>
  <c r="K54" i="4" s="1"/>
  <c r="K32" i="4"/>
  <c r="K37" i="4" s="1"/>
  <c r="K38" i="4" s="1"/>
  <c r="J52" i="4"/>
  <c r="J54" i="4" s="1"/>
  <c r="F54" i="4"/>
  <c r="D54" i="4"/>
  <c r="F32" i="4"/>
  <c r="F37" i="4" s="1"/>
  <c r="F38" i="4" s="1"/>
  <c r="C52" i="3" l="1"/>
  <c r="F52" i="3"/>
  <c r="D52" i="3"/>
  <c r="J41" i="3" l="1"/>
  <c r="J52" i="3" s="1"/>
  <c r="G41" i="3"/>
  <c r="G52" i="3" s="1"/>
  <c r="H41" i="3"/>
  <c r="H52" i="3" s="1"/>
  <c r="E52" i="3" s="1"/>
  <c r="I41" i="3"/>
  <c r="I52" i="3" s="1"/>
  <c r="L41" i="3" l="1"/>
  <c r="L52" i="3" s="1"/>
  <c r="M41" i="3"/>
  <c r="M52" i="3" s="1"/>
  <c r="N41" i="3"/>
  <c r="K41" i="3"/>
  <c r="K52" i="3" s="1"/>
  <c r="N52" i="3" l="1"/>
  <c r="O41" i="3" s="1"/>
  <c r="O52" i="3" s="1"/>
  <c r="O23" i="3" s="1"/>
  <c r="O58" i="3" s="1"/>
  <c r="O60" i="3" s="1"/>
  <c r="P41" i="3" l="1"/>
  <c r="P52" i="3" s="1"/>
  <c r="P23" i="3" s="1"/>
  <c r="R38" i="4"/>
  <c r="O36" i="3"/>
  <c r="Q41" i="3" l="1"/>
  <c r="Q52" i="3" s="1"/>
  <c r="Q23" i="3" s="1"/>
  <c r="Q36" i="3" s="1"/>
  <c r="P58" i="3"/>
  <c r="P60" i="3" s="1"/>
  <c r="P36" i="3"/>
  <c r="S38" i="4"/>
  <c r="R41" i="3" l="1"/>
  <c r="R52" i="3" s="1"/>
  <c r="S41" i="3" s="1"/>
  <c r="T38" i="4"/>
  <c r="Q58" i="3"/>
  <c r="Q60" i="3" s="1"/>
  <c r="S52" i="3" l="1"/>
  <c r="S23" i="3" s="1"/>
  <c r="T41" i="3"/>
  <c r="R23" i="3"/>
  <c r="T52" i="3" l="1"/>
  <c r="T23" i="3" s="1"/>
  <c r="T58" i="3" s="1"/>
  <c r="T60" i="3" s="1"/>
  <c r="U41" i="3"/>
  <c r="V38" i="4"/>
  <c r="R36" i="3"/>
  <c r="R58" i="3"/>
  <c r="R60" i="3" s="1"/>
  <c r="U38" i="4"/>
  <c r="S36" i="3"/>
  <c r="S58" i="3"/>
  <c r="S60" i="3" s="1"/>
  <c r="W38" i="4"/>
  <c r="U52" i="3" l="1"/>
  <c r="U23" i="3" s="1"/>
  <c r="U36" i="3" s="1"/>
  <c r="V41" i="3"/>
  <c r="V52" i="3" s="1"/>
  <c r="X38" i="4"/>
  <c r="T36" i="3"/>
  <c r="U58" i="3"/>
  <c r="U60" i="3" s="1"/>
  <c r="Y38" i="4"/>
  <c r="V23" i="3" l="1"/>
  <c r="W41" i="3"/>
  <c r="V58" i="3" l="1"/>
  <c r="V60" i="3" s="1"/>
  <c r="V36" i="3"/>
  <c r="Z38" i="4"/>
  <c r="AA38" i="4"/>
  <c r="AB79" i="2" l="1"/>
  <c r="AB104" i="2"/>
  <c r="AB105" i="2" s="1"/>
  <c r="AB96" i="2"/>
  <c r="AB98" i="2"/>
  <c r="AB97" i="2"/>
  <c r="W52" i="3"/>
  <c r="W23" i="3" s="1"/>
  <c r="AB38" i="4" s="1"/>
  <c r="W36" i="3" l="1"/>
  <c r="W58" i="3"/>
  <c r="W60" i="3" s="1"/>
</calcChain>
</file>

<file path=xl/sharedStrings.xml><?xml version="1.0" encoding="utf-8"?>
<sst xmlns="http://schemas.openxmlformats.org/spreadsheetml/2006/main" count="654" uniqueCount="329">
  <si>
    <t>Årliga och kvartalsvisa resultaträkningar</t>
  </si>
  <si>
    <t>RR</t>
  </si>
  <si>
    <t>SEK</t>
  </si>
  <si>
    <t>Årliga och kvartalsvisa balansräkningar</t>
  </si>
  <si>
    <t>BR</t>
  </si>
  <si>
    <t>Årliga och kvartalsvisa kassaflödesrapporter</t>
  </si>
  <si>
    <t>Nyckeltal</t>
  </si>
  <si>
    <t>Definitioner</t>
  </si>
  <si>
    <t>Medelantal anställda</t>
  </si>
  <si>
    <t>Sysselsatt kapital</t>
  </si>
  <si>
    <t>Kassakonvertering</t>
  </si>
  <si>
    <t>Skuldsättningsgrad, %</t>
  </si>
  <si>
    <t>Avvecklade verksamheter</t>
  </si>
  <si>
    <t>Direktavkastning</t>
  </si>
  <si>
    <t>Resultat per aktie</t>
  </si>
  <si>
    <t>EBIT</t>
  </si>
  <si>
    <t>EBIT exklusive jämförelsestörande poster</t>
  </si>
  <si>
    <t xml:space="preserve">EBIT-marginal exklusive jämförelsestörande poster, % </t>
  </si>
  <si>
    <t xml:space="preserve">EBITA </t>
  </si>
  <si>
    <t>EBITDA</t>
  </si>
  <si>
    <t>EBITDA/Räntenetto</t>
  </si>
  <si>
    <t>Soliditet</t>
  </si>
  <si>
    <t>Kapitalandelsmetoden</t>
  </si>
  <si>
    <t>Fritt kassaflöde</t>
  </si>
  <si>
    <t>Fritt kassaflöde per aktie</t>
  </si>
  <si>
    <r>
      <t>Jämförelsestörande poster</t>
    </r>
    <r>
      <rPr>
        <sz val="8.5"/>
        <color theme="1"/>
        <rFont val="Arial"/>
        <family val="2"/>
      </rPr>
      <t xml:space="preserve"> </t>
    </r>
  </si>
  <si>
    <t>Nettoskuld</t>
  </si>
  <si>
    <t xml:space="preserve">Nettoskuld/EBITDA </t>
  </si>
  <si>
    <t>Antal anställda vid årets slut</t>
  </si>
  <si>
    <t>Operativt kassaflöde</t>
  </si>
  <si>
    <t>Operativt kassaflöde per aktie</t>
  </si>
  <si>
    <t>Organisk tillväxt</t>
  </si>
  <si>
    <t>P/E tal</t>
  </si>
  <si>
    <t>Kapitalomsättningshastighet</t>
  </si>
  <si>
    <t>Resultaträkningar</t>
  </si>
  <si>
    <t>Resultaträkningar, MSEK</t>
  </si>
  <si>
    <t>Nettoomsättning</t>
  </si>
  <si>
    <t>Kostnad för sålda varor</t>
  </si>
  <si>
    <t>Bruttoresultat</t>
  </si>
  <si>
    <t>Försäljningskostnader</t>
  </si>
  <si>
    <t>Administrationskostnader</t>
  </si>
  <si>
    <t>Forsknings- och utvecklingskostnader</t>
  </si>
  <si>
    <t>Andel i intressebolag</t>
  </si>
  <si>
    <t>EBIT, exklusive jämförelsestörande poster</t>
  </si>
  <si>
    <t>Jämförelsestörande poster</t>
  </si>
  <si>
    <t>Resultat före skatt</t>
  </si>
  <si>
    <t>Skatt</t>
  </si>
  <si>
    <t>Resultat efter skatt</t>
  </si>
  <si>
    <t xml:space="preserve"> - moderbolagets aktieägare</t>
  </si>
  <si>
    <t>Marknadspris, SEK</t>
  </si>
  <si>
    <t>Resultat per aktie, R12</t>
  </si>
  <si>
    <t>Genomsnittligt sysselsatt kapital, exklusive jämförelsestörande poster, R12</t>
  </si>
  <si>
    <t>Avkastning på sysselsatt kapital, %, exklusive jämförelsestörande poster</t>
  </si>
  <si>
    <t>Genomsnittligt sysselsatt kapital och EBIT är kalkylerat R12. Detta används när avkastning på sysselsatt kapital i % kalkyleras.</t>
  </si>
  <si>
    <t>Nettoomsättning, R12</t>
  </si>
  <si>
    <t>Genomsnittligt sysselsatt kapital, R12</t>
  </si>
  <si>
    <t>Genomsnittligt sysselsatt kapital och nettoomsättning är kalkylerat genom använding av R12. Detta används vid kalkylering av kapitalomsättningshastigheten.</t>
  </si>
  <si>
    <t>Balansräkningar</t>
  </si>
  <si>
    <t>Balansräkningar, MSEK</t>
  </si>
  <si>
    <t>31 dec</t>
  </si>
  <si>
    <t>30 sep</t>
  </si>
  <si>
    <t>30 jun</t>
  </si>
  <si>
    <t>31 mar</t>
  </si>
  <si>
    <t>Materiella anläggningstillgångar</t>
  </si>
  <si>
    <t>Goodwill</t>
  </si>
  <si>
    <t>Övriga immateriella anläggningstillgångar</t>
  </si>
  <si>
    <t>Andelar i intressebolag</t>
  </si>
  <si>
    <t>Finansiella anläggningstillgångar</t>
  </si>
  <si>
    <t>Uppskjutna skattefordringar</t>
  </si>
  <si>
    <t>Varulager</t>
  </si>
  <si>
    <t>Kortfristiga rörelsefordringar</t>
  </si>
  <si>
    <t>Aktuell skattefordran</t>
  </si>
  <si>
    <t>Räntebärande fordringar</t>
  </si>
  <si>
    <t>Likvida medel</t>
  </si>
  <si>
    <t>Summa omsättningstillgångar</t>
  </si>
  <si>
    <t>Summa eget kapital</t>
  </si>
  <si>
    <t>Räntebärande långfristiga skulder</t>
  </si>
  <si>
    <t>Övriga långfristiga skulder</t>
  </si>
  <si>
    <t>Pensionsförpliktelser</t>
  </si>
  <si>
    <t>Övriga avsättningar</t>
  </si>
  <si>
    <t>Uppskjutna skatteskulder</t>
  </si>
  <si>
    <t>Summa långfristiga skulder</t>
  </si>
  <si>
    <t>Räntebärande kortfristiga skulder</t>
  </si>
  <si>
    <t>Aktuell skatteskuld</t>
  </si>
  <si>
    <t>Övriga kortfristiga skulder</t>
  </si>
  <si>
    <t>Summa kortfristiga skulder</t>
  </si>
  <si>
    <t>Summa eget kapital och skulder</t>
  </si>
  <si>
    <t>Specifikation till förändring av eget kapital, MSEK</t>
  </si>
  <si>
    <t>Soliditet, %</t>
  </si>
  <si>
    <t>Specifikation av sysselsatt kapital, MSEK</t>
  </si>
  <si>
    <t>Kassaflödesrapporter</t>
  </si>
  <si>
    <t xml:space="preserve">Kassaflödesrapporter, MSEK </t>
  </si>
  <si>
    <t>Försäljning av anläggningstillgångar</t>
  </si>
  <si>
    <t>Utdelning från intressebolag</t>
  </si>
  <si>
    <t>Kassaflödeseffekt från jämförelsestörande poster</t>
  </si>
  <si>
    <t>Finansiella poster</t>
  </si>
  <si>
    <t>Skatter</t>
  </si>
  <si>
    <t>Förvärv</t>
  </si>
  <si>
    <t>Utdelning - moderbolagets aktieägare</t>
  </si>
  <si>
    <t>Operativt kassaflöde, R12</t>
  </si>
  <si>
    <t>EBIT, exklusive jämförelsestörande poster, R12</t>
  </si>
  <si>
    <t>Fritt kassaflöde, R12</t>
  </si>
  <si>
    <t>Ingående balans</t>
  </si>
  <si>
    <t>Utgående balans</t>
  </si>
  <si>
    <t>EBIT_</t>
  </si>
  <si>
    <t>Valuta</t>
  </si>
  <si>
    <t>Förklaring</t>
  </si>
  <si>
    <t>Kassaflöde</t>
  </si>
  <si>
    <t xml:space="preserve"> - innehav utan bestämmande inflytande</t>
  </si>
  <si>
    <t>Summa anläggningstillgångar</t>
  </si>
  <si>
    <t>¹²³</t>
  </si>
  <si>
    <t>EBITDA, inklusive jämförelsestörande poster, R12</t>
  </si>
  <si>
    <t>Räntabilitet på eget kapital</t>
  </si>
  <si>
    <t>Totalt eget kapital</t>
  </si>
  <si>
    <t>Genomsnittligt eget kapital</t>
  </si>
  <si>
    <t>Räntabilitet på eget kapital, exklusive jämförelsestörande poster</t>
  </si>
  <si>
    <t>Övrigt totalresultat</t>
  </si>
  <si>
    <t>Rapporter över totalresultat, MSEK</t>
  </si>
  <si>
    <t>Poster som inte ska återföras i resultaträkningen</t>
  </si>
  <si>
    <t>Inkomstskatt hänförlig till komponenter i övrigt totalresultat</t>
  </si>
  <si>
    <t>Summa</t>
  </si>
  <si>
    <t>Poster som senare kan återföras i resultaträkningen</t>
  </si>
  <si>
    <t>Kassaflödessäkringar</t>
  </si>
  <si>
    <t>Säkring av nettoinvestering</t>
  </si>
  <si>
    <r>
      <t>Omräkningsdifferenser</t>
    </r>
    <r>
      <rPr>
        <vertAlign val="superscript"/>
        <sz val="10"/>
        <rFont val="Calibri"/>
        <family val="2"/>
        <scheme val="minor"/>
      </rPr>
      <t/>
    </r>
  </si>
  <si>
    <r>
      <t>Inkomstskatt hänförlig till komponenter i övrigt totalresultat</t>
    </r>
    <r>
      <rPr>
        <vertAlign val="superscript"/>
        <sz val="10"/>
        <rFont val="Calibri"/>
        <family val="2"/>
        <scheme val="minor"/>
      </rPr>
      <t/>
    </r>
  </si>
  <si>
    <t>Övrigt totalresultat efter skatt</t>
  </si>
  <si>
    <t>Summa totalresultat</t>
  </si>
  <si>
    <t>Motivering</t>
  </si>
  <si>
    <t>N/A</t>
  </si>
  <si>
    <t>Rörelseresultatet från den ordinarie operativa verksamheten exklusive effekter av avskrivningar på materiella- och immateriella tillgångar. Värdefull eftersom nyckeltalet indikerar den underliggande kassagenererande förmågan.</t>
  </si>
  <si>
    <t>Operativt kassaflöde i förhållande till EBIT.</t>
  </si>
  <si>
    <t>Utdelning i förhållande till börskurs.</t>
  </si>
  <si>
    <t>EBIT exklusive jämförelsestörande poster i förhållande till nettoomsättningen.</t>
  </si>
  <si>
    <t>EBITDA dividerat med räntenetto (ränteintäkter minus räntekostnader).</t>
  </si>
  <si>
    <t>Summa eget kapital i förhållande till balansomslutningen.</t>
  </si>
  <si>
    <t>Intressebolag och samägda bolag redovisas enligt kapitalandelsmetoden, vilket innebär att den initiala andelen förändras för att avspegla koncernens andel av bolagets resultat samt för eventuella utdelningar.</t>
  </si>
  <si>
    <t>Operativt kassaflöde reducerat med kassaflöde avseende finansiella poster, skatter och kassaflödeseffekt av omstruktureringsåtgärder.</t>
  </si>
  <si>
    <t>Fritt kassaflöde i förhållande till genomsnittligt antal utestående aktier.</t>
  </si>
  <si>
    <t>Inkluderar inhyrd och visstidsanställd personal.</t>
  </si>
  <si>
    <t>Operativt kassaflöde i förhållande till genomsnittligt antal utestående aktier.</t>
  </si>
  <si>
    <t>Börskurs i förhållande till resultat per aktie.</t>
  </si>
  <si>
    <t>Proformaberäkningar inkluderar summan av de 12 senaste månaderna från koncernens konsolidering med tillägg för förvärv och avyttringar för att spegla nuvarande kvarvarande verksamheter.</t>
  </si>
  <si>
    <t>Nettoomsättning i förhållande till genomsnittligt sysselsatt kapital.</t>
  </si>
  <si>
    <t>Representerar det kassaflöde genererat av koncernen som kan användas till nya förvärv eller utdelningar till aktieägarna. Detta belopp sätts sedan i relation till antalet aktier.</t>
  </si>
  <si>
    <t>Visar hur skuldsatt koncernen är över tid.</t>
  </si>
  <si>
    <t>Visar koncernens kassagenerering från den operativa verksamheten.</t>
  </si>
  <si>
    <t>Visar ett mått på finansiell risk som ställer räntebärande skulder i förhållande till underliggande kassagenerering.</t>
  </si>
  <si>
    <t>Visar underliggande tillväxt från volymförändringar, pris och försäljningsmix.</t>
  </si>
  <si>
    <t>Visar hur effektivt det sysselsatta kapitalet används.</t>
  </si>
  <si>
    <t>Visar hur väl det operativa kapitalet används för att skapa lönsam tillväxt.</t>
  </si>
  <si>
    <t>Visar koncernens förmåga att skapa avkastning på eget kapital.</t>
  </si>
  <si>
    <t xml:space="preserve">Jämför Trelleborgs aktiekurs i förhållande till koncernens resultat per aktie. </t>
  </si>
  <si>
    <t>Andel av resultat efter skatt, hänförligt till moderbolagets aktieägar, i förhållande till genomsnittligt antal utestående aktier.</t>
  </si>
  <si>
    <t>Rörelseintäkter och rörelsekostnader inklusive jämförelsestörande poster.</t>
  </si>
  <si>
    <t>Rörelseintäkter och rörelsekostnader exklusive jämförelsestörande poster.</t>
  </si>
  <si>
    <t>Summan av styrelsen godkända omstruktureringskostnader samt andra engångsposter av större karaktär. Det är engångsposter som inte är direkt hänförliga till koncernens ordinarie verksamhet.</t>
  </si>
  <si>
    <t>Nettoskuld i förhållande till EBITDA beräknat på rullande 12 månader.</t>
  </si>
  <si>
    <t>Nyckeltalet visar hur antalet anställda i koncernen växer över tid.</t>
  </si>
  <si>
    <t>Visar koncernens kassagenerering från den operativa verksamheten i förhållande till genomsnittligt antal aktier.</t>
  </si>
  <si>
    <t>Andel av resultat efter skatt beräknat på rullande 12, hänförligt till moderbolagets aktieägare i förhållande till genomsnittligt eget kapital, exklusive innehav utan bestämmande inflytande och uttryckt i procent.</t>
  </si>
  <si>
    <t>Räntenetto, R12</t>
  </si>
  <si>
    <t>Exklusive jämförelsestörande poster:</t>
  </si>
  <si>
    <t>EBITA</t>
  </si>
  <si>
    <t>Eget kapital</t>
  </si>
  <si>
    <t>Resultat efter skatt i avvecklade verksamheter</t>
  </si>
  <si>
    <t>Kvarvarande verksamheter</t>
  </si>
  <si>
    <t>Engångspost hänförlig till IFRS16</t>
  </si>
  <si>
    <t>Ej kassaflödespåverkande poster</t>
  </si>
  <si>
    <t>Amortering leasingskuld</t>
  </si>
  <si>
    <t>Räntebärande skulder med avdrag för räntebärande tillgångar och likvida medel.</t>
  </si>
  <si>
    <t>EBITDA exklusive ej kassaflödespåverkande poster, investeringar, sålda anläggningstillgångar, amortering av leasingskuld och förändringar i rörelsekapital. I nyckeltalet exkluderas kassaflöde från jämförelsestörande poster.</t>
  </si>
  <si>
    <t>Balansomslutning minus räntebärande fordringar och icke räntebärande rörelseskulder samt exklusive skattefordringar och skatteskulder.</t>
  </si>
  <si>
    <t xml:space="preserve">Nettoskuld, MSEK </t>
  </si>
  <si>
    <t>Avyttrade verksamheter</t>
  </si>
  <si>
    <t>Nettokassaflöde</t>
  </si>
  <si>
    <t>Valutakursdifferenser</t>
  </si>
  <si>
    <t>Innehav utan bestämmande inflytande</t>
  </si>
  <si>
    <t>Nettoskulden inkluderar från och med 2019 leasingskuld enligt IFRS 16 samt pensionsskuld.</t>
  </si>
  <si>
    <t>Finansiella intäkter och kostnader</t>
  </si>
  <si>
    <t>Avskrivningar/nedskrivningar på materiella tillgångar</t>
  </si>
  <si>
    <t>Avskrivningar/nedskrivningar på immateriella tillgångar</t>
  </si>
  <si>
    <r>
      <t xml:space="preserve">Resultat per aktie, SEK </t>
    </r>
    <r>
      <rPr>
        <b/>
        <sz val="8"/>
        <color rgb="FFFFFFFF"/>
        <rFont val="Calibri"/>
        <family val="2"/>
      </rPr>
      <t>¹</t>
    </r>
  </si>
  <si>
    <t>Omvärdering av nettopensionsförpliktelsen</t>
  </si>
  <si>
    <t>Summa totalresultat hänförligt till:</t>
  </si>
  <si>
    <t>Kv1 2021</t>
  </si>
  <si>
    <t>Kvarvarande verksamheter, exklusive jämförelsestörande poster</t>
  </si>
  <si>
    <t>Operativt kassaflöde, avvecklade verksamheter</t>
  </si>
  <si>
    <t>Kapitaltillskott intressebolag</t>
  </si>
  <si>
    <t>Operativt kassaflöde, koncernen</t>
  </si>
  <si>
    <t>Tillgångar som innehas för försäljning</t>
  </si>
  <si>
    <t xml:space="preserve">Skulder som innehas för försäljning </t>
  </si>
  <si>
    <t>Kapitalomsättningshastighet, ggr, kvarvarande verksamheter</t>
  </si>
  <si>
    <t>Räntabilitet på eget kapital, koncernen</t>
  </si>
  <si>
    <t>Kv2 2021</t>
  </si>
  <si>
    <t>6M 2021</t>
  </si>
  <si>
    <t>Strukturell tillväxt</t>
  </si>
  <si>
    <t>Valutakursförändringar på nettoomsättning</t>
  </si>
  <si>
    <t>Visar påverkan på nettoomsättning från förvärv och avyttringar.</t>
  </si>
  <si>
    <t>Kv3 2021</t>
  </si>
  <si>
    <t>9M 2021</t>
  </si>
  <si>
    <t>Kv4 2021</t>
  </si>
  <si>
    <t>12M 2021</t>
  </si>
  <si>
    <t>Koncernen, exklusive jämförelsestörande poster</t>
  </si>
  <si>
    <t>Trelleborg</t>
  </si>
  <si>
    <t>Kv1 2022</t>
  </si>
  <si>
    <t>Övriga rörelseintäkter</t>
  </si>
  <si>
    <t>Övriga rörelsekostnader</t>
  </si>
  <si>
    <t>Per bokslutsdag</t>
  </si>
  <si>
    <t>Genomsnittligt sysselsatt kapital, inklusive jämförelsestörande poster, R12</t>
  </si>
  <si>
    <t>Avkastning på sysselsatt kapital, %,  inklusive jämförelsestörande poster</t>
  </si>
  <si>
    <t>EBIT, inklusive jämförelsestörande poster, R12</t>
  </si>
  <si>
    <t>Rörelsekapital</t>
  </si>
  <si>
    <t>Nyttjanderättstillgångar</t>
  </si>
  <si>
    <t>Immateriella tillgångar</t>
  </si>
  <si>
    <t>Andelar i samägda-/intressebolag</t>
  </si>
  <si>
    <t>Återköp egna aktier</t>
  </si>
  <si>
    <t>EBITDA/Räntenetto, koncernen</t>
  </si>
  <si>
    <t>Kv2 2022</t>
  </si>
  <si>
    <t>6M 2022</t>
  </si>
  <si>
    <t>Effekter av IAS29¹</t>
  </si>
  <si>
    <t>Kv3 2022</t>
  </si>
  <si>
    <t>9M 2022</t>
  </si>
  <si>
    <t>Kv4 2022</t>
  </si>
  <si>
    <t>12M 2022</t>
  </si>
  <si>
    <t>Visar valutapåverkan på nettoomsättning mellan olika perioder.</t>
  </si>
  <si>
    <t>Kv1 2023</t>
  </si>
  <si>
    <t xml:space="preserve">Investeringar i anläggningstillgångar </t>
  </si>
  <si>
    <t>Kv2 2023</t>
  </si>
  <si>
    <t>30 Jun</t>
  </si>
  <si>
    <t>Avskrivningar på övervärden kopplade till förvärv</t>
  </si>
  <si>
    <t>Makulering egna aktier</t>
  </si>
  <si>
    <t>Fondemission</t>
  </si>
  <si>
    <t>6M 2023</t>
  </si>
  <si>
    <r>
      <t xml:space="preserve">Nettoskuld/EBITDA </t>
    </r>
    <r>
      <rPr>
        <vertAlign val="superscript"/>
        <sz val="8"/>
        <rFont val="FranklinGothic"/>
      </rPr>
      <t>2</t>
    </r>
  </si>
  <si>
    <r>
      <t xml:space="preserve">Leasingskuld enligt IFRS16 </t>
    </r>
    <r>
      <rPr>
        <vertAlign val="superscript"/>
        <sz val="8"/>
        <rFont val="Arial"/>
        <family val="2"/>
      </rPr>
      <t>1</t>
    </r>
  </si>
  <si>
    <r>
      <t xml:space="preserve">Pensionsskuld </t>
    </r>
    <r>
      <rPr>
        <vertAlign val="superscript"/>
        <sz val="8"/>
        <rFont val="Arial"/>
        <family val="2"/>
      </rPr>
      <t>1</t>
    </r>
  </si>
  <si>
    <t>Kv3 2023</t>
  </si>
  <si>
    <t>30 Sep</t>
  </si>
  <si>
    <t>9M 2023</t>
  </si>
  <si>
    <t>Kv4 2023</t>
  </si>
  <si>
    <t>12M 2023</t>
  </si>
  <si>
    <t>Kv1 2024</t>
  </si>
  <si>
    <t>Kv2 2024</t>
  </si>
  <si>
    <t>6M 2024</t>
  </si>
  <si>
    <t>EBITDA marginal exklusive jämförelsestörande poster, %</t>
  </si>
  <si>
    <t>EBITA marginal exklusive jämförelsestörande poster, %</t>
  </si>
  <si>
    <t>EBIT marginal exklusive jämförelsestörande poster, %</t>
  </si>
  <si>
    <t>Balansomslutning</t>
  </si>
  <si>
    <t xml:space="preserve">Förändring rörelsekapital </t>
  </si>
  <si>
    <t>Operativt kassaflöde, kvarvarande verksamheter</t>
  </si>
  <si>
    <t>Genomsnittligt antal utestående aktier, R12</t>
  </si>
  <si>
    <t>Kv3 2024</t>
  </si>
  <si>
    <t>9M 2024</t>
  </si>
  <si>
    <t>Aktierelaterat incitamentprogram</t>
  </si>
  <si>
    <t>Ett mått av finansiell risk, som jämför koncernens eget kapital i förhållande till koncernens totala balansomslutning.</t>
  </si>
  <si>
    <t>Ett skuld- och lönsamhetsförhållande som visar koncernens möjlighet att genom den egna resultatgenereringen betala ränta på utestående skulder.</t>
  </si>
  <si>
    <t>Visar rörelseresultatet från den ordinarie operativa verksamheten.</t>
  </si>
  <si>
    <t>Visar utvecklingen av resultatet i förhållande till antal aktier i bolaget.</t>
  </si>
  <si>
    <t>Visar relationen mellan erhållen utdelning och börskurs.</t>
  </si>
  <si>
    <t>Visar den finansiella risken och visar hur koncernen är finansierad.</t>
  </si>
  <si>
    <t>Visar hur stor del av kapitalet som är knutet till den operativa verksamheten.</t>
  </si>
  <si>
    <t>Visar hur effektivt bolaget är på att skapa ett reellt kassaflöde ur sin verksamhet.</t>
  </si>
  <si>
    <t>Visar rörelseresultatet från den ordinarie operativa verksamheten exklusive avskrivningar på immateriella tillgångar från förvärv.</t>
  </si>
  <si>
    <t>Räntabilitet på eget kapital, totalt koncernen</t>
  </si>
  <si>
    <t>EBIT, inklusive jämförelsestörande poster</t>
  </si>
  <si>
    <t>EBIT specifikation, kvarvarande verksamheter, MSEK</t>
  </si>
  <si>
    <t>Avkastning på sysselsatt kapital, kvarvarande verksamheter</t>
  </si>
  <si>
    <t xml:space="preserve">Nettoskuld koncernen, ingående balans </t>
  </si>
  <si>
    <t>Nettoskuld koncernen, utgående balans</t>
  </si>
  <si>
    <t>Trelleborg använder sig av ett antal alternativa nyckeltal kopplade till finansiell ställning som bland annat avkastning på eget kapital samt sysselsatt kapital, nettoskuld, skuldsättningsgrad och soliditet. Koncernen anser att nyckeltalen är användbara för användarna av de finansiella rapporterna som ett komplement för att bedöma möjlighet till utdelning, att genomföra strategiska investeringar samt att bedöma koncernens möjligheter att leva upp till finansiella åtaganden. Vidare använder Trelleborg kassaflödesmåtten operativt kassaflöde samt fritt kassaflöde för att ge en indikation på vilka medel som verksamheten genererar för att kunna genomföra strategiska investeringar, göra amorteringar och ge avkastning till aktieägarna. Trelleborg använder även de operativa resultatmåtten EBITDA, EBITA och EBIT exklusive jämförelsestörande poster, vilka är mått som koncernen betraktar som relevanta för investerare som vill förstå resultatgenereringen före jämförelsestörande poster. Koncernen definierar nyckeltalen enligt nedan.</t>
  </si>
  <si>
    <t>Kv4 2024</t>
  </si>
  <si>
    <t>12M 2024</t>
  </si>
  <si>
    <t>Resultat efter skatt, kvarvarande verksamheter</t>
  </si>
  <si>
    <t>Resultat efter skatt, koncernen</t>
  </si>
  <si>
    <t>Koncernen</t>
  </si>
  <si>
    <t>Antal Aktier</t>
  </si>
  <si>
    <r>
      <rPr>
        <sz val="7"/>
        <rFont val="Calibri"/>
        <family val="2"/>
      </rPr>
      <t>¹</t>
    </r>
    <r>
      <rPr>
        <sz val="7"/>
        <rFont val="Arial"/>
        <family val="2"/>
      </rPr>
      <t xml:space="preserve"> Inga utspädningseffekter förekommer.</t>
    </r>
  </si>
  <si>
    <t>I genomsnitt</t>
  </si>
  <si>
    <t>Resultat efter skatt exklusive jämförelsestörande poster, R12</t>
  </si>
  <si>
    <t>Resultat efter skatt, totalt koncernen, R12</t>
  </si>
  <si>
    <t>Summa tillgångar</t>
  </si>
  <si>
    <t>Årets resultat</t>
  </si>
  <si>
    <t>Utdelning</t>
  </si>
  <si>
    <r>
      <rPr>
        <sz val="7"/>
        <rFont val="Calibri"/>
        <family val="2"/>
      </rPr>
      <t>¹</t>
    </r>
    <r>
      <rPr>
        <sz val="7"/>
        <rFont val="Arial"/>
        <family val="2"/>
      </rPr>
      <t xml:space="preserve"> Avser hyperinflationsredovisning för verksamhet i Turkiet.</t>
    </r>
  </si>
  <si>
    <r>
      <rPr>
        <vertAlign val="superscript"/>
        <sz val="7"/>
        <rFont val="Calibri"/>
        <family val="2"/>
      </rPr>
      <t>1</t>
    </r>
    <r>
      <rPr>
        <sz val="7"/>
        <rFont val="Calibri"/>
        <family val="2"/>
      </rPr>
      <t xml:space="preserve"> Avser icke kassaflödespåverkande poster</t>
    </r>
  </si>
  <si>
    <r>
      <rPr>
        <vertAlign val="superscript"/>
        <sz val="7"/>
        <rFont val="Arial"/>
        <family val="2"/>
      </rPr>
      <t xml:space="preserve">2  </t>
    </r>
    <r>
      <rPr>
        <sz val="7"/>
        <rFont val="Arial"/>
        <family val="2"/>
      </rPr>
      <t>EBITDA inklusive jämförelsestörande poster.</t>
    </r>
  </si>
  <si>
    <t>Genomsnittligt antal anställda under året baserat på arbetad tid. Exklusive inhyrd personal.</t>
  </si>
  <si>
    <t>Kostnaden hänförlig till antalet anställda, representerar en stor del av koncernens kostnader. Utvecklingen av medelantalet anställda är därför ett viktigt nyckeltal att använda vid jämförelsen av antalet anställda och kostnader.</t>
  </si>
  <si>
    <t>Representerar det kassaflöde genererat av koncernen som kan användas till nya förvärv eller utdelningar till aktieägarna.</t>
  </si>
  <si>
    <t>Visar separat rapportering av jämförelsestörande poster mellan perioder. Ger en ökad förståelse för koncernens underliggande operativa resultat.</t>
  </si>
  <si>
    <t>Den omsättningstillväxt i jämförbara valutakurser som genereras av egen kraft och i befintlig struktur. Ett förvärv eller en försäljning inkluderas endast i beräkningen av organisk tillväxt om det ingår med lika antal månader i nuvarande period och motsvarande period föregående år. I annat fall inkluderas det i beräkningen för strukturell tillväxt.</t>
  </si>
  <si>
    <t>varav i eget förvar</t>
  </si>
  <si>
    <t>EBITA exklusive jämförelsestörande poster</t>
  </si>
  <si>
    <t>EBITA exklusive jämförelsestörande poster i förhållande till nettoomsättning.</t>
  </si>
  <si>
    <t>-</t>
  </si>
  <si>
    <t>EBITA-marginal exklusive jämförelsestörande poster, %</t>
  </si>
  <si>
    <t>EBITDA exklusive jämförelsestörande poster</t>
  </si>
  <si>
    <t>Resultatet för avvecklade verksamheter redovisas netto i koncernens resultaträkningar på raden "Resultat efter skatt i avvecklade verksamheter".</t>
  </si>
  <si>
    <t>Proforma</t>
  </si>
  <si>
    <t>Rörelseresultat exklusive jämförelsestörande poster samt avskrivningar och nedskrivningar på immateriella anläggningstillgångar från förvärv.</t>
  </si>
  <si>
    <t>Rörelseresultat inklusive jämförelsestörande poster, exklusive avskrivningar och nedskrivningar på immateriella anläggningstillgångar från förvärv.</t>
  </si>
  <si>
    <t>Rörelseresultat inklusive jämförelsestörande poster, exklusive avskrivningar och nedskrivningar på materiella (inklusive nyttjanderättstillgångar) och immateriella anläggningstillgångar.</t>
  </si>
  <si>
    <t>Rörelseresultat exklusive jämförelsestörande poster, exklusive avskrivningar samt nedskrivningar på materiella (inklusive nyttjanderättstillgångar) och immateriella anläggningstillgångar.</t>
  </si>
  <si>
    <t>Vid beräkning av organisk tillväxt används jämförbara valutor. Varje period omräknas till aktuella kurser, då uppkommer valutakursdifferenser på nettoomsättningen i jämförelse mellan två perioder.</t>
  </si>
  <si>
    <t>Vid beräkning av organisk tillväxt exkluderas strukturell påverkan, såsom förvärv respektive avyttringar, i de jämförbara perioderna. Denna effekt särredovisas som strukturell tillväxt.</t>
  </si>
  <si>
    <t>EBIT i förhållande till genomsnittligt sysselsatt kapital beräknat på rullande 12.</t>
  </si>
  <si>
    <t>EBITDA exklusive jämförelsestörande poster och andelar av resultatet i samägda bolag/intressebolag, i förhållande till nettoomsättning.</t>
  </si>
  <si>
    <t>Nettoskuld i förhållande till summa eget kapital.</t>
  </si>
  <si>
    <t>Kv1 2025</t>
  </si>
  <si>
    <t>Flik</t>
  </si>
  <si>
    <t>Kv2 2025</t>
  </si>
  <si>
    <t>6M 2025</t>
  </si>
  <si>
    <t>Räntabiliteten på eget kapital, beräknad på rullande tolvmånadersbasis, påverkades fram till och med första kvartalet 2024 av de realiserade vinsterna från avyttringarna av koncernens däck- och tryckdukssverksamheter, vilka genomfördes under andra kvartalet 2023.</t>
  </si>
  <si>
    <t>Kv3 2025</t>
  </si>
  <si>
    <t>9M 2025</t>
  </si>
  <si>
    <t>EBIT i förhållande till genomsnittligt sysselsatt kapital exklusive goodwill beräknat på rullande 12.</t>
  </si>
  <si>
    <t>Visar hur väl det operativa kapitalet exklusive goodwill används för att skapa lönsam tillväxt.</t>
  </si>
  <si>
    <t>Goodwill, exklusive jämförelsestörande poster, R12</t>
  </si>
  <si>
    <t>Goodwill, inklusive jämförelsestörande poster, R12</t>
  </si>
  <si>
    <t>Avkastning på sysselsatt kapital exkl. goodwill, %, exkl. jämförelsestörande poster</t>
  </si>
  <si>
    <t>Avkastning på sysselsatt kapital exkl. goodwill, %, inkl. jämförelsestörande poster</t>
  </si>
  <si>
    <t>Avkastning på sysselsatt kapital %</t>
  </si>
  <si>
    <t>Avkastning på sysselsatt kapital exklusive goodwill %</t>
  </si>
  <si>
    <t>Kv4 2025</t>
  </si>
  <si>
    <t>12M 2025</t>
  </si>
  <si>
    <r>
      <t xml:space="preserve">Justering av tilläggsköpeskilling </t>
    </r>
    <r>
      <rPr>
        <vertAlign val="superscript"/>
        <sz val="8"/>
        <rFont val="Arial"/>
        <family val="2"/>
      </rPr>
      <t>1</t>
    </r>
  </si>
  <si>
    <t>Kv1 2026</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</si>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</sst>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0;\-0;&quot;-&quot;;"/>
    <numFmt numFmtId="166" formatCode="0.0"/>
    <numFmt numFmtId="167" formatCode="0.0%"/>
    <numFmt numFmtId="168" formatCode="#,##0.0"/>
    <numFmt numFmtId="169" formatCode="0.00;\-0.00;&quot;-&quot;"/>
    <numFmt numFmtId="170" formatCode="#\ ##0"/>
    <numFmt numFmtId="171" formatCode="#.##"/>
  </numFmts>
  <fonts count="3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vertAlign val="superscript"/>
      <sz val="10"/>
      <name val="Calibri"/>
      <family val="2"/>
      <scheme val="minor"/>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11"/>
      <color theme="0"/>
      <name val="Calibri"/>
      <family val="2"/>
      <scheme val="minor"/>
    </font>
    <font>
      <sz val="8"/>
      <name val="FranklinGothic"/>
    </font>
    <font>
      <b/>
      <sz val="8"/>
      <color rgb="FFFFFFFF"/>
      <name val="Calibri"/>
      <family val="2"/>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vertAlign val="superscript"/>
      <sz val="8"/>
      <name val="FranklinGothic"/>
    </font>
    <font>
      <i/>
      <sz val="8"/>
      <color rgb="FFFF0000"/>
      <name val="Arial"/>
      <family val="2"/>
    </font>
    <font>
      <sz val="9"/>
      <color rgb="FFFF0000"/>
      <name val="Arial"/>
      <family val="2"/>
    </font>
    <font>
      <vertAlign val="superscript"/>
      <sz val="8"/>
      <name val="Arial"/>
      <family val="2"/>
    </font>
    <font>
      <i/>
      <sz val="12"/>
      <name val="Arial"/>
      <family val="2"/>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1">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68">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7"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7"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8" fillId="2" borderId="0" xfId="0" applyFont="1" applyFill="1"/>
    <xf numFmtId="3" fontId="11" fillId="2" borderId="0" xfId="6" applyNumberFormat="1" applyFont="1" applyFill="1" applyBorder="1" applyAlignment="1" applyProtection="1">
      <alignment horizontal="left" wrapText="1"/>
    </xf>
    <xf numFmtId="0" fontId="19" fillId="2" borderId="0" xfId="0" applyFont="1" applyFill="1" applyBorder="1" applyAlignment="1" applyProtection="1"/>
    <xf numFmtId="0" fontId="21" fillId="3" borderId="1" xfId="3" applyFont="1" applyFill="1" applyBorder="1" applyAlignment="1" applyProtection="1"/>
    <xf numFmtId="16" fontId="21" fillId="3" borderId="1" xfId="3" quotePrefix="1" applyNumberFormat="1" applyFont="1" applyFill="1" applyBorder="1" applyAlignment="1" applyProtection="1">
      <alignment horizontal="right"/>
    </xf>
    <xf numFmtId="0" fontId="21" fillId="3" borderId="1" xfId="3" applyFont="1" applyFill="1" applyBorder="1" applyAlignment="1" applyProtection="1">
      <alignmen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20"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9"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23" fillId="4" borderId="10"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7" fillId="2" borderId="4" xfId="0" applyFont="1" applyFill="1" applyBorder="1"/>
    <xf numFmtId="0" fontId="25" fillId="2" borderId="0" xfId="0" applyFont="1" applyFill="1" applyBorder="1" applyAlignment="1" applyProtection="1">
      <alignment horizontal="left"/>
    </xf>
    <xf numFmtId="0" fontId="25"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9" fillId="2" borderId="0" xfId="6" applyFont="1" applyFill="1" applyBorder="1" applyAlignment="1" applyProtection="1"/>
    <xf numFmtId="3" fontId="0" fillId="2" borderId="0" xfId="0" applyNumberFormat="1" applyFill="1"/>
    <xf numFmtId="0" fontId="28"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9" fillId="2" borderId="0" xfId="0" applyFont="1" applyFill="1" applyBorder="1" applyAlignment="1" applyProtection="1"/>
    <xf numFmtId="0" fontId="30" fillId="2" borderId="0" xfId="0" applyFont="1" applyFill="1"/>
    <xf numFmtId="164" fontId="14" fillId="2" borderId="0" xfId="1" applyNumberFormat="1" applyFont="1" applyFill="1" applyBorder="1" applyAlignment="1" applyProtection="1">
      <alignment horizontal="left"/>
    </xf>
    <xf numFmtId="0" fontId="11" fillId="2" borderId="4" xfId="6" quotePrefix="1" applyFont="1" applyFill="1" applyBorder="1" applyAlignment="1" applyProtection="1"/>
    <xf numFmtId="2" fontId="11" fillId="2" borderId="0" xfId="0" applyNumberFormat="1" applyFont="1" applyFill="1" applyBorder="1" applyAlignment="1" applyProtection="1"/>
    <xf numFmtId="3" fontId="11" fillId="4" borderId="0" xfId="8" applyFont="1" applyFill="1" applyBorder="1" applyAlignment="1" applyProtection="1"/>
    <xf numFmtId="0" fontId="10" fillId="2" borderId="0" xfId="0"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7" fillId="2" borderId="0" xfId="0" applyNumberFormat="1" applyFont="1" applyFill="1" applyBorder="1"/>
    <xf numFmtId="3" fontId="11" fillId="2" borderId="4" xfId="6" quotePrefix="1" applyNumberFormat="1" applyFont="1" applyFill="1" applyBorder="1" applyAlignment="1" applyProtection="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6"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2" fontId="13" fillId="0" borderId="4" xfId="0" quotePrefix="1" applyNumberFormat="1" applyFont="1" applyFill="1" applyBorder="1" applyProtection="1"/>
    <xf numFmtId="0" fontId="32" fillId="2" borderId="0" xfId="6" applyFont="1" applyFill="1" applyBorder="1" applyAlignment="1" applyProtection="1"/>
    <xf numFmtId="0" fontId="33" fillId="2" borderId="0" xfId="0" applyFont="1" applyFill="1" applyBorder="1" applyAlignment="1" applyProtection="1"/>
    <xf numFmtId="9" fontId="13" fillId="0" borderId="4" xfId="2" applyFont="1" applyFill="1" applyBorder="1" applyAlignment="1" applyProtection="1"/>
    <xf numFmtId="3" fontId="11" fillId="2" borderId="0" xfId="0" applyNumberFormat="1" applyFont="1" applyFill="1"/>
    <xf numFmtId="167" fontId="11" fillId="2" borderId="0" xfId="2" applyNumberFormat="1" applyFont="1" applyFill="1"/>
    <xf numFmtId="168" fontId="13" fillId="0" borderId="4" xfId="5" applyNumberFormat="1" applyFont="1" applyFill="1" applyBorder="1" applyAlignment="1" applyProtection="1"/>
    <xf numFmtId="167" fontId="11" fillId="2" borderId="0" xfId="0" applyNumberFormat="1" applyFont="1" applyFill="1" applyBorder="1"/>
    <xf numFmtId="0" fontId="11" fillId="2" borderId="4" xfId="0" applyFont="1" applyFill="1" applyBorder="1"/>
    <xf numFmtId="3" fontId="11" fillId="2" borderId="0" xfId="8" applyFont="1" applyFill="1" applyBorder="1" applyAlignment="1" applyProtection="1"/>
    <xf numFmtId="3" fontId="17" fillId="2" borderId="0" xfId="0" quotePrefix="1" applyNumberFormat="1" applyFont="1" applyFill="1" applyBorder="1" applyProtection="1"/>
    <xf numFmtId="2" fontId="11" fillId="0" borderId="0" xfId="0" applyNumberFormat="1" applyFont="1" applyFill="1" applyBorder="1" applyAlignment="1" applyProtection="1"/>
    <xf numFmtId="3" fontId="11" fillId="0" borderId="0" xfId="8" applyFont="1" applyFill="1" applyBorder="1" applyAlignment="1" applyProtection="1"/>
    <xf numFmtId="167" fontId="17" fillId="0" borderId="0" xfId="2" applyNumberFormat="1" applyFont="1" applyFill="1"/>
    <xf numFmtId="167" fontId="11" fillId="0" borderId="0" xfId="2" applyNumberFormat="1" applyFont="1" applyFill="1"/>
    <xf numFmtId="0" fontId="11" fillId="0" borderId="0" xfId="0" quotePrefix="1" applyFont="1" applyFill="1" applyBorder="1" applyProtection="1"/>
    <xf numFmtId="0" fontId="11" fillId="0" borderId="0" xfId="0" applyFont="1" applyFill="1" applyBorder="1" applyProtection="1"/>
    <xf numFmtId="0" fontId="11" fillId="0" borderId="0" xfId="0" applyFont="1" applyFill="1" applyBorder="1" applyAlignment="1" applyProtection="1">
      <alignment horizontal="left"/>
    </xf>
    <xf numFmtId="167" fontId="0" fillId="2" borderId="0" xfId="0" applyNumberFormat="1" applyFill="1"/>
    <xf numFmtId="3" fontId="17" fillId="2" borderId="0" xfId="5" applyNumberFormat="1" applyFont="1" applyFill="1" applyBorder="1" applyAlignment="1" applyProtection="1"/>
    <xf numFmtId="168" fontId="13" fillId="2" borderId="4" xfId="5" applyNumberFormat="1" applyFont="1" applyFill="1" applyBorder="1" applyAlignment="1" applyProtection="1"/>
    <xf numFmtId="9" fontId="13" fillId="2" borderId="4" xfId="2" applyFont="1" applyFill="1" applyBorder="1" applyAlignment="1" applyProtection="1"/>
    <xf numFmtId="165" fontId="11" fillId="2" borderId="0" xfId="0" applyNumberFormat="1" applyFont="1" applyFill="1" applyBorder="1" applyAlignment="1" applyProtection="1"/>
    <xf numFmtId="165" fontId="11" fillId="2" borderId="4" xfId="6" quotePrefix="1" applyNumberFormat="1" applyFont="1" applyFill="1" applyBorder="1" applyAlignment="1" applyProtection="1"/>
    <xf numFmtId="0" fontId="11" fillId="0" borderId="0" xfId="0" applyFont="1" applyFill="1" applyBorder="1" applyAlignment="1" applyProtection="1"/>
    <xf numFmtId="169" fontId="11" fillId="2" borderId="0" xfId="0" applyNumberFormat="1" applyFont="1" applyFill="1" applyBorder="1" applyAlignment="1" applyProtection="1"/>
    <xf numFmtId="170" fontId="11" fillId="2" borderId="0" xfId="0" quotePrefix="1" applyNumberFormat="1" applyFont="1" applyFill="1" applyBorder="1" applyProtection="1"/>
    <xf numFmtId="170" fontId="13" fillId="2" borderId="4" xfId="6" applyNumberFormat="1" applyFont="1" applyFill="1" applyBorder="1" applyAlignment="1" applyProtection="1"/>
    <xf numFmtId="170" fontId="11" fillId="2" borderId="1" xfId="6" applyNumberFormat="1" applyFont="1" applyFill="1" applyBorder="1" applyAlignment="1" applyProtection="1"/>
    <xf numFmtId="3" fontId="11" fillId="0" borderId="0" xfId="5" applyNumberFormat="1" applyFont="1" applyFill="1" applyBorder="1" applyAlignment="1" applyProtection="1"/>
    <xf numFmtId="165" fontId="11" fillId="2" borderId="0" xfId="5" applyNumberFormat="1" applyFont="1" applyFill="1" applyBorder="1" applyAlignment="1" applyProtection="1"/>
    <xf numFmtId="165" fontId="11" fillId="2" borderId="1" xfId="6" applyNumberFormat="1" applyFont="1" applyFill="1" applyBorder="1" applyAlignment="1" applyProtection="1"/>
    <xf numFmtId="3" fontId="11" fillId="0" borderId="0" xfId="0" quotePrefix="1" applyNumberFormat="1" applyFont="1" applyFill="1" applyBorder="1" applyProtection="1"/>
    <xf numFmtId="166" fontId="25" fillId="2" borderId="0" xfId="0" applyNumberFormat="1" applyFont="1" applyFill="1" applyBorder="1" applyAlignment="1" applyProtection="1">
      <alignment horizontal="left"/>
    </xf>
    <xf numFmtId="166" fontId="35" fillId="2" borderId="0" xfId="0" applyNumberFormat="1" applyFont="1" applyFill="1" applyBorder="1" applyAlignment="1" applyProtection="1">
      <alignment horizontal="left"/>
    </xf>
    <xf numFmtId="0" fontId="8" fillId="2" borderId="2" xfId="0" applyFont="1" applyFill="1" applyBorder="1" applyAlignment="1">
      <alignment vertical="center" wrapText="1"/>
    </xf>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171" fontId="13" fillId="2" borderId="4" xfId="6" applyNumberFormat="1" applyFont="1" applyFill="1" applyBorder="1" applyAlignment="1" applyProtection="1"/>
    <xf numFmtId="0" fontId="15" fillId="2" borderId="0" xfId="0" applyFont="1" applyFill="1" applyBorder="1" applyAlignment="1" applyProtection="1">
      <alignment horizontal="lef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70" fontId="11" fillId="2" borderId="0" xfId="0" applyNumberFormat="1" applyFont="1" applyFill="1" applyBorder="1" applyAlignment="1" applyProtection="1"/>
    <xf numFmtId="167" fontId="11" fillId="2" borderId="0"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6" fillId="2" borderId="0" xfId="0" applyFont="1" applyFill="1" applyBorder="1" applyAlignment="1" applyProtection="1">
      <alignment horizontal="left"/>
    </xf>
    <xf numFmtId="2" fontId="11" fillId="2" borderId="0" xfId="0" applyNumberFormat="1" applyFont="1" applyFill="1" applyBorder="1" applyAlignment="1" applyProtection="1">
      <alignment horizontal="right"/>
    </xf>
    <xf numFmtId="0" fontId="8" fillId="2" borderId="9" xfId="0" applyFont="1" applyFill="1" applyBorder="1" applyAlignment="1">
      <alignment horizontal="left" vertical="center" wrapText="1"/>
    </xf>
    <xf numFmtId="0" fontId="6" fillId="2" borderId="0" xfId="4" applyFill="1" applyAlignment="1">
      <alignment vertical="center"/>
    </xf>
    <xf numFmtId="0" fontId="0" fillId="2" borderId="2" xfId="0" applyFill="1" applyBorder="1" applyAlignment="1">
      <alignment vertical="center"/>
    </xf>
    <xf numFmtId="0" fontId="8" fillId="2" borderId="6" xfId="0" applyFont="1" applyFill="1" applyBorder="1" applyAlignment="1">
      <alignment horizontal="left" vertical="center" wrapText="1"/>
    </xf>
    <xf numFmtId="0" fontId="27" fillId="2" borderId="2" xfId="0" applyFont="1" applyFill="1" applyBorder="1" applyAlignment="1">
      <alignment vertical="center" wrapText="1"/>
    </xf>
    <xf numFmtId="0" fontId="22" fillId="2" borderId="0" xfId="0" applyFont="1" applyFill="1"/>
    <xf numFmtId="165" fontId="11" fillId="2" borderId="0" xfId="6" applyNumberFormat="1" applyFont="1" applyFill="1" applyBorder="1" applyAlignment="1" applyProtection="1"/>
    <xf numFmtId="0" fontId="5" fillId="3" borderId="1" xfId="3" applyFont="1" applyAlignment="1" applyProtection="1"/>
    <xf numFmtId="0" fontId="0" fillId="2" borderId="0" xfId="0" applyFill="1" applyBorder="1" applyAlignment="1"/>
    <xf numFmtId="0" fontId="11" fillId="2" borderId="0" xfId="6" applyNumberFormat="1" applyFont="1" applyFill="1" applyBorder="1" applyAlignment="1" applyProtection="1"/>
    <xf numFmtId="0" fontId="0" fillId="2" borderId="0" xfId="0" applyFill="1"/>
    <xf numFmtId="16" fontId="21" fillId="3" borderId="1" xfId="3" quotePrefix="1" applyNumberFormat="1" applyFont="1" applyFill="1" applyBorder="1" applyAlignment="1" applyProtection="1">
      <alignment horizontal="right"/>
    </xf>
    <xf numFmtId="165" fontId="11" fillId="4" borderId="0" xfId="5" applyNumberFormat="1" applyFont="1" applyFill="1" applyBorder="1" applyAlignment="1" applyProtection="1">
      <alignment horizontal="right"/>
    </xf>
    <xf numFmtId="9" fontId="13" fillId="4" borderId="4" xfId="2" applyFont="1" applyFill="1" applyBorder="1" applyAlignment="1" applyProtection="1"/>
    <xf numFmtId="1" fontId="11" fillId="2" borderId="0" xfId="1" applyNumberFormat="1" applyFont="1" applyFill="1" applyBorder="1" applyAlignment="1" applyProtection="1">
      <alignment horizontal="right"/>
    </xf>
    <xf numFmtId="3" fontId="11" fillId="2" borderId="0" xfId="5" applyNumberFormat="1" applyFont="1" applyFill="1" applyBorder="1" applyAlignment="1" applyProtection="1">
      <alignment horizontal="right"/>
    </xf>
    <xf numFmtId="1" fontId="11" fillId="2" borderId="0" xfId="5" applyNumberFormat="1" applyFont="1" applyFill="1" applyBorder="1" applyAlignment="1" applyProtection="1">
      <alignment horizontal="right"/>
    </xf>
    <xf numFmtId="2" fontId="13" fillId="2" borderId="4" xfId="6" applyNumberFormat="1" applyFont="1" applyFill="1" applyBorder="1" applyAlignment="1" applyProtection="1"/>
    <xf numFmtId="166" fontId="11" fillId="2" borderId="4" xfId="0" applyNumberFormat="1" applyFont="1" applyFill="1" applyBorder="1"/>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0" fillId="2" borderId="0" xfId="0" applyFill="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34"/>
  <sheetViews>
    <sheetView tabSelected="1" zoomScale="90" zoomScaleNormal="90" workbookViewId="0">
      <selection activeCell="B6" sqref="B6"/>
    </sheetView>
  </sheetViews>
  <sheetFormatPr defaultRowHeight="15"/>
  <cols>
    <col min="1" max="1" width="63.42578125" style="2" customWidth="1"/>
    <col min="2" max="2" width="58.7109375" style="2" customWidth="1"/>
    <col min="3" max="3" width="47.7109375" style="2" customWidth="1"/>
    <col min="5" max="5" width="45" customWidth="1"/>
  </cols>
  <sheetData>
    <row r="1" spans="1:7" s="2" customFormat="1">
      <c r="A1" s="3" t="s">
        <v>204</v>
      </c>
    </row>
    <row r="2" spans="1:7" s="2" customFormat="1">
      <c r="A2" s="152" t="s">
        <v>106</v>
      </c>
      <c r="B2" s="152" t="s">
        <v>310</v>
      </c>
      <c r="C2" s="152" t="s">
        <v>105</v>
      </c>
    </row>
    <row r="3" spans="1:7" s="2" customFormat="1">
      <c r="A3" s="5" t="s">
        <v>0</v>
      </c>
      <c r="B3" s="2" t="s">
        <v>1</v>
      </c>
      <c r="C3" s="2" t="s">
        <v>2</v>
      </c>
    </row>
    <row r="4" spans="1:7" s="2" customFormat="1">
      <c r="A4" s="5" t="s">
        <v>3</v>
      </c>
      <c r="B4" s="2" t="s">
        <v>4</v>
      </c>
      <c r="C4" s="2" t="s">
        <v>2</v>
      </c>
    </row>
    <row r="5" spans="1:7" s="2" customFormat="1">
      <c r="A5" s="5" t="s">
        <v>5</v>
      </c>
      <c r="B5" s="2" t="s">
        <v>107</v>
      </c>
      <c r="C5" s="2" t="s">
        <v>2</v>
      </c>
    </row>
    <row r="6" spans="1:7" s="2" customFormat="1">
      <c r="A6" s="152"/>
      <c r="B6" s="152"/>
      <c r="C6" s="152"/>
    </row>
    <row r="7" spans="1:7" s="2" customFormat="1"/>
    <row r="8" spans="1:7" s="2" customFormat="1" ht="120.75" customHeight="1">
      <c r="A8" s="167" t="s">
        <v>270</v>
      </c>
      <c r="B8" s="167"/>
      <c r="C8" s="167"/>
      <c r="G8" s="1"/>
    </row>
    <row r="9" spans="1:7" s="2" customFormat="1" ht="24.75" customHeight="1"/>
    <row r="10" spans="1:7" s="2" customFormat="1">
      <c r="A10" s="6" t="s">
        <v>6</v>
      </c>
      <c r="B10" s="6" t="s">
        <v>7</v>
      </c>
      <c r="C10" s="6" t="s">
        <v>128</v>
      </c>
    </row>
    <row r="11" spans="1:7" s="2" customFormat="1" ht="30">
      <c r="A11" s="130" t="s">
        <v>28</v>
      </c>
      <c r="B11" s="51" t="s">
        <v>139</v>
      </c>
      <c r="C11" s="50" t="s">
        <v>158</v>
      </c>
    </row>
    <row r="12" spans="1:7" s="2" customFormat="1" ht="30">
      <c r="A12" s="131" t="s">
        <v>322</v>
      </c>
      <c r="B12" s="50" t="s">
        <v>306</v>
      </c>
      <c r="C12" s="50" t="s">
        <v>150</v>
      </c>
    </row>
    <row r="13" spans="1:7" s="2" customFormat="1" ht="30">
      <c r="A13" s="131" t="s">
        <v>323</v>
      </c>
      <c r="B13" s="50" t="s">
        <v>316</v>
      </c>
      <c r="C13" s="50" t="s">
        <v>317</v>
      </c>
    </row>
    <row r="14" spans="1:7" s="2" customFormat="1" ht="45">
      <c r="A14" s="130" t="s">
        <v>12</v>
      </c>
      <c r="B14" s="50" t="s">
        <v>298</v>
      </c>
      <c r="C14" s="50" t="s">
        <v>129</v>
      </c>
    </row>
    <row r="15" spans="1:7" s="2" customFormat="1" ht="30">
      <c r="A15" s="130" t="s">
        <v>13</v>
      </c>
      <c r="B15" s="51" t="s">
        <v>132</v>
      </c>
      <c r="C15" s="50" t="s">
        <v>259</v>
      </c>
    </row>
    <row r="16" spans="1:7" s="2" customFormat="1" ht="30" customHeight="1">
      <c r="A16" s="146" t="s">
        <v>104</v>
      </c>
      <c r="B16" s="50" t="s">
        <v>154</v>
      </c>
      <c r="C16" s="164" t="s">
        <v>257</v>
      </c>
    </row>
    <row r="17" spans="1:4" s="2" customFormat="1" ht="30" customHeight="1">
      <c r="A17" s="132" t="s">
        <v>16</v>
      </c>
      <c r="B17" s="50" t="s">
        <v>155</v>
      </c>
      <c r="C17" s="165"/>
    </row>
    <row r="18" spans="1:4" s="2" customFormat="1" ht="30">
      <c r="A18" s="132" t="s">
        <v>17</v>
      </c>
      <c r="B18" s="50" t="s">
        <v>133</v>
      </c>
      <c r="C18" s="166"/>
    </row>
    <row r="19" spans="1:4" s="2" customFormat="1" ht="45">
      <c r="A19" s="147" t="s">
        <v>18</v>
      </c>
      <c r="B19" s="50" t="s">
        <v>301</v>
      </c>
      <c r="C19" s="164" t="s">
        <v>263</v>
      </c>
      <c r="D19" s="1"/>
    </row>
    <row r="20" spans="1:4" s="2" customFormat="1" ht="45">
      <c r="A20" s="146" t="s">
        <v>293</v>
      </c>
      <c r="B20" s="50" t="s">
        <v>300</v>
      </c>
      <c r="C20" s="165"/>
      <c r="D20" s="1"/>
    </row>
    <row r="21" spans="1:4" s="2" customFormat="1" ht="30">
      <c r="A21" s="131" t="s">
        <v>296</v>
      </c>
      <c r="B21" s="50" t="s">
        <v>294</v>
      </c>
      <c r="C21" s="166"/>
    </row>
    <row r="22" spans="1:4" s="2" customFormat="1" ht="75" customHeight="1">
      <c r="A22" s="131" t="s">
        <v>19</v>
      </c>
      <c r="B22" s="50" t="s">
        <v>302</v>
      </c>
      <c r="C22" s="164" t="s">
        <v>130</v>
      </c>
    </row>
    <row r="23" spans="1:4" s="2" customFormat="1" ht="75" customHeight="1">
      <c r="A23" s="131" t="s">
        <v>297</v>
      </c>
      <c r="B23" s="50" t="s">
        <v>303</v>
      </c>
      <c r="C23" s="165"/>
    </row>
    <row r="24" spans="1:4" s="2" customFormat="1" ht="45">
      <c r="A24" s="131" t="s">
        <v>245</v>
      </c>
      <c r="B24" s="148" t="s">
        <v>307</v>
      </c>
      <c r="C24" s="166"/>
    </row>
    <row r="25" spans="1:4" s="2" customFormat="1" ht="60">
      <c r="A25" s="131" t="s">
        <v>20</v>
      </c>
      <c r="B25" s="50" t="s">
        <v>134</v>
      </c>
      <c r="C25" s="145" t="s">
        <v>256</v>
      </c>
    </row>
    <row r="26" spans="1:4" s="2" customFormat="1" ht="45">
      <c r="A26" s="131" t="s">
        <v>23</v>
      </c>
      <c r="B26" s="50" t="s">
        <v>137</v>
      </c>
      <c r="C26" s="50" t="s">
        <v>289</v>
      </c>
    </row>
    <row r="27" spans="1:4" s="2" customFormat="1" ht="60">
      <c r="A27" s="131" t="s">
        <v>24</v>
      </c>
      <c r="B27" s="50" t="s">
        <v>138</v>
      </c>
      <c r="C27" s="50" t="s">
        <v>144</v>
      </c>
    </row>
    <row r="28" spans="1:4" s="2" customFormat="1" ht="60">
      <c r="A28" s="130" t="s">
        <v>25</v>
      </c>
      <c r="B28" s="50" t="s">
        <v>156</v>
      </c>
      <c r="C28" s="50" t="s">
        <v>290</v>
      </c>
    </row>
    <row r="29" spans="1:4" s="2" customFormat="1" ht="60">
      <c r="A29" s="130" t="s">
        <v>22</v>
      </c>
      <c r="B29" s="50" t="s">
        <v>136</v>
      </c>
      <c r="C29" s="50" t="s">
        <v>129</v>
      </c>
    </row>
    <row r="30" spans="1:4" s="2" customFormat="1" ht="30">
      <c r="A30" s="131" t="s">
        <v>33</v>
      </c>
      <c r="B30" s="50" t="s">
        <v>143</v>
      </c>
      <c r="C30" s="50" t="s">
        <v>149</v>
      </c>
    </row>
    <row r="31" spans="1:4" s="2" customFormat="1" ht="30">
      <c r="A31" s="131" t="s">
        <v>10</v>
      </c>
      <c r="B31" s="51" t="s">
        <v>131</v>
      </c>
      <c r="C31" s="50" t="s">
        <v>262</v>
      </c>
    </row>
    <row r="32" spans="1:4" s="2" customFormat="1" ht="75">
      <c r="A32" s="130" t="s">
        <v>8</v>
      </c>
      <c r="B32" s="50" t="s">
        <v>287</v>
      </c>
      <c r="C32" s="50" t="s">
        <v>288</v>
      </c>
    </row>
    <row r="33" spans="1:3" s="2" customFormat="1" ht="46.5" customHeight="1">
      <c r="A33" s="131" t="s">
        <v>26</v>
      </c>
      <c r="B33" s="50" t="s">
        <v>170</v>
      </c>
      <c r="C33" s="50" t="s">
        <v>145</v>
      </c>
    </row>
    <row r="34" spans="1:3" s="2" customFormat="1" ht="45">
      <c r="A34" s="131" t="s">
        <v>27</v>
      </c>
      <c r="B34" s="50" t="s">
        <v>157</v>
      </c>
      <c r="C34" s="50" t="s">
        <v>147</v>
      </c>
    </row>
    <row r="35" spans="1:3" s="2" customFormat="1" ht="60">
      <c r="A35" s="131" t="s">
        <v>29</v>
      </c>
      <c r="B35" s="50" t="s">
        <v>171</v>
      </c>
      <c r="C35" s="50" t="s">
        <v>146</v>
      </c>
    </row>
    <row r="36" spans="1:3" s="2" customFormat="1" ht="45">
      <c r="A36" s="131" t="s">
        <v>30</v>
      </c>
      <c r="B36" s="50" t="s">
        <v>140</v>
      </c>
      <c r="C36" s="50" t="s">
        <v>159</v>
      </c>
    </row>
    <row r="37" spans="1:3" s="2" customFormat="1" ht="90">
      <c r="A37" s="130" t="s">
        <v>31</v>
      </c>
      <c r="B37" s="50" t="s">
        <v>291</v>
      </c>
      <c r="C37" s="50" t="s">
        <v>148</v>
      </c>
    </row>
    <row r="38" spans="1:3" s="2" customFormat="1" ht="30">
      <c r="A38" s="131" t="s">
        <v>32</v>
      </c>
      <c r="B38" s="51" t="s">
        <v>141</v>
      </c>
      <c r="C38" s="50" t="s">
        <v>152</v>
      </c>
    </row>
    <row r="39" spans="1:3" s="2" customFormat="1" ht="60">
      <c r="A39" s="130" t="s">
        <v>299</v>
      </c>
      <c r="B39" s="50" t="s">
        <v>142</v>
      </c>
      <c r="C39" s="51" t="s">
        <v>129</v>
      </c>
    </row>
    <row r="40" spans="1:3" s="2" customFormat="1" ht="45">
      <c r="A40" s="131" t="s">
        <v>14</v>
      </c>
      <c r="B40" s="50" t="s">
        <v>153</v>
      </c>
      <c r="C40" s="50" t="s">
        <v>258</v>
      </c>
    </row>
    <row r="41" spans="1:3" s="2" customFormat="1" ht="60">
      <c r="A41" s="131" t="s">
        <v>112</v>
      </c>
      <c r="B41" s="50" t="s">
        <v>160</v>
      </c>
      <c r="C41" s="50" t="s">
        <v>151</v>
      </c>
    </row>
    <row r="42" spans="1:3" s="2" customFormat="1" ht="30">
      <c r="A42" s="131" t="s">
        <v>11</v>
      </c>
      <c r="B42" s="50" t="s">
        <v>308</v>
      </c>
      <c r="C42" s="50" t="s">
        <v>260</v>
      </c>
    </row>
    <row r="43" spans="1:3" s="2" customFormat="1" ht="54" customHeight="1">
      <c r="A43" s="131" t="s">
        <v>21</v>
      </c>
      <c r="B43" s="50" t="s">
        <v>135</v>
      </c>
      <c r="C43" s="145" t="s">
        <v>255</v>
      </c>
    </row>
    <row r="44" spans="1:3" s="2" customFormat="1" ht="45">
      <c r="A44" s="130" t="s">
        <v>196</v>
      </c>
      <c r="B44" s="149" t="s">
        <v>305</v>
      </c>
      <c r="C44" s="129" t="s">
        <v>198</v>
      </c>
    </row>
    <row r="45" spans="1:3" s="2" customFormat="1" ht="45">
      <c r="A45" s="131" t="s">
        <v>9</v>
      </c>
      <c r="B45" s="50" t="s">
        <v>172</v>
      </c>
      <c r="C45" s="50" t="s">
        <v>261</v>
      </c>
    </row>
    <row r="46" spans="1:3" s="2" customFormat="1" ht="60">
      <c r="A46" s="130" t="s">
        <v>197</v>
      </c>
      <c r="B46" s="149" t="s">
        <v>304</v>
      </c>
      <c r="C46" s="129" t="s">
        <v>225</v>
      </c>
    </row>
    <row r="47" spans="1:3" s="2" customFormat="1"/>
    <row r="48" spans="1:3" s="2" customFormat="1"/>
    <row r="49" spans="1:1" s="2" customFormat="1"/>
    <row r="50" spans="1:1" s="2" customFormat="1"/>
    <row r="51" spans="1:1" s="2" customFormat="1"/>
    <row r="52" spans="1:1" s="2" customFormat="1"/>
    <row r="53" spans="1:1" s="2" customFormat="1"/>
    <row r="54" spans="1:1" s="2" customFormat="1"/>
    <row r="55" spans="1:1" s="2" customFormat="1">
      <c r="A55" s="150" t="s">
        <v>110</v>
      </c>
    </row>
    <row r="56" spans="1:1" s="2" customFormat="1"/>
    <row r="57" spans="1:1" s="2" customFormat="1"/>
    <row r="58" spans="1:1" s="2" customFormat="1"/>
    <row r="59" spans="1:1" s="2" customFormat="1"/>
    <row r="60" spans="1:1" s="2" customFormat="1"/>
    <row r="61" spans="1:1" s="2" customFormat="1"/>
    <row r="62" spans="1:1" s="2" customFormat="1"/>
    <row r="63" spans="1:1" s="2" customFormat="1"/>
    <row r="64" spans="1:1"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sheetData>
  <mergeCells count="4">
    <mergeCell ref="C16:C18"/>
    <mergeCell ref="C22:C24"/>
    <mergeCell ref="A8:C8"/>
    <mergeCell ref="C19:C21"/>
  </mergeCells>
  <hyperlinks>
    <hyperlink ref="A45" location="BR!B63" display="Sysselsatt kapital" xr:uid="{00000000-0004-0000-0000-000000000000}"/>
    <hyperlink ref="A40" location="Resultat_per_aktie__SEK" display="Resultat per aktie" xr:uid="{00000000-0004-0000-0000-000001000000}"/>
    <hyperlink ref="A22" location="EBITDA__exklusive_jämförelsestörande_poster" display="EBITDA" xr:uid="{00000000-0004-0000-0000-000005000000}"/>
    <hyperlink ref="A24" location="EBITDA_marginal_exklusive_jämföreslsestörande_poster" display="EBITDA marginal, %" xr:uid="{00000000-0004-0000-0000-000006000000}"/>
    <hyperlink ref="A38" location="P_E_tal" display="P/E tal" xr:uid="{00000000-0004-0000-0000-000007000000}"/>
    <hyperlink ref="A12" location="Avkastning_på_sysselsatt_kapital" display="Avkastning på sysselsatt kapital" xr:uid="{00000000-0004-0000-0000-000008000000}"/>
    <hyperlink ref="A30" location="Kapitalomsättningshastighet" display="Kapitalomsättningshastighet" xr:uid="{00000000-0004-0000-0000-000009000000}"/>
    <hyperlink ref="A42" location="Kassaflöde!B37" display="Skuldsättningsgrad, %" xr:uid="{00000000-0004-0000-0000-00000A000000}"/>
    <hyperlink ref="A43" location="Soliditet" display="Soliditet" xr:uid="{00000000-0004-0000-0000-00000C000000}"/>
    <hyperlink ref="A33" location="Kassaflöde!B36" display="Nettoskuld" xr:uid="{00000000-0004-0000-0000-00000D000000}"/>
    <hyperlink ref="A35" location="Operativt_kassaflöde" display="Operativt kassaflöde" xr:uid="{00000000-0004-0000-0000-00000E000000}"/>
    <hyperlink ref="A36" location="Operativt_kassaflöde_per_aktie" display="Operativt kassaflöde per aktie" xr:uid="{00000000-0004-0000-0000-00000F000000}"/>
    <hyperlink ref="A27" location="Fritt_kassaflöde_per_aktie" display="Fritt kassaflöde per aktie" xr:uid="{00000000-0004-0000-0000-000010000000}"/>
    <hyperlink ref="A26" location="Kassaflöde!B25" display="Fritt kassaflöde" xr:uid="{00000000-0004-0000-0000-000011000000}"/>
    <hyperlink ref="A31" location="Kassakonvertering" display="Kassakonvertering" xr:uid="{00000000-0004-0000-0000-000012000000}"/>
    <hyperlink ref="A3" location="Resultaträkningar" display="Årliga och kvartalsvisa resultaträkningar" xr:uid="{00000000-0004-0000-0000-000013000000}"/>
    <hyperlink ref="A4" location="Balansräkningar" display="Årliga och kvartalsvisa balansräkningar" xr:uid="{00000000-0004-0000-0000-000014000000}"/>
    <hyperlink ref="A5" location="Kassaflödesrapporter" display="Årliga och kvartalsvisa kassaflödesrapporter" xr:uid="{00000000-0004-0000-0000-000015000000}"/>
    <hyperlink ref="A25" location="EBITDA_Räntenetto" display="EBITDA/Räntenetto" xr:uid="{00000000-0004-0000-0000-000016000000}"/>
    <hyperlink ref="A17" location="RR!B68" display="EBIT exklusive jämförelsestörande poster" xr:uid="{00000000-0004-0000-0000-000017000000}"/>
    <hyperlink ref="A18" location="RR!B73" display="EBIT-marginal exklusive jämförelsestörande poster, % " xr:uid="{00000000-0004-0000-0000-000018000000}"/>
    <hyperlink ref="A34" location="Kassaflöde!B38" display="Nettoskuld/EBITDA " xr:uid="{00000000-0004-0000-0000-000019000000}"/>
    <hyperlink ref="A41" location="Rntek" display="Räntabilitet på eget kapital" xr:uid="{00000000-0004-0000-0000-00001A000000}"/>
    <hyperlink ref="A16" location="RR!B70" display="EBIT_" xr:uid="{E7893DE4-5FEB-4FE3-9C8F-AF76BADC6C88}"/>
    <hyperlink ref="A21" location="RR!B72" display="EBITA marginal exklusive jämförelsestörande poster, %" xr:uid="{CE384B2C-E66F-48CF-86CC-D528AF40FDF3}"/>
    <hyperlink ref="A20" location="RR!B66" display="EBITA exklusive jämförelsestörande poster" xr:uid="{05EF3262-1B2A-47F0-8AAA-D484426E352A}"/>
    <hyperlink ref="A23" location="EBITDA__exklusive_jämförelsestörande_poster" display="EBITDA" xr:uid="{3EE27CD6-9C4A-4320-AA9D-DB7AE32A59B6}"/>
    <hyperlink ref="A13" location="RR!B95" display="Avkastning på sysselsatt kapital exklusive goodwill" xr:uid="{20533343-7FF8-4209-AF39-7067C8743FAE}"/>
  </hyperlinks>
  <pageMargins left="0.7" right="0.7" top="0.75" bottom="0.75" header="0.3" footer="0.3"/>
  <pageSetup paperSize="9" orientation="landscape" r:id="rId1"/>
  <headerFooter>
    <oddFooter>&amp;C_x000D_&amp;1#&amp;"Calibri"&amp;15&amp;K000000 Internal document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130"/>
  <sheetViews>
    <sheetView topLeftCell="B1" zoomScaleNormal="100" zoomScaleSheetLayoutView="100" workbookViewId="0">
      <pane xSplit="1" topLeftCell="C1" activePane="topRight" state="frozen"/>
      <selection activeCell="B1" sqref="B1"/>
      <selection pane="topRight" activeCell="B1" sqref="B1"/>
    </sheetView>
  </sheetViews>
  <sheetFormatPr defaultRowHeight="15"/>
  <cols>
    <col min="1" max="1" width="9.140625" style="2" hidden="1" customWidth="1"/>
    <col min="2" max="2" width="58" style="2" customWidth="1"/>
    <col min="3" max="18" width="12.7109375" style="2" customWidth="1"/>
    <col min="19" max="21" width="12.5703125" style="2" customWidth="1"/>
    <col min="22" max="25" width="12.7109375" style="2" customWidth="1"/>
    <col min="26" max="26" width="12.5703125" style="155" customWidth="1"/>
    <col min="27" max="28" width="12.7109375" style="155" customWidth="1"/>
    <col min="29" max="16384" width="9.140625" style="2"/>
  </cols>
  <sheetData>
    <row r="1" spans="1:44">
      <c r="B1" s="3" t="s">
        <v>34</v>
      </c>
      <c r="C1" s="3"/>
      <c r="D1" s="3"/>
      <c r="E1" s="3"/>
      <c r="F1" s="3"/>
      <c r="G1" s="3"/>
      <c r="H1" s="3"/>
      <c r="I1" s="3"/>
      <c r="L1" s="3"/>
      <c r="Q1" s="3"/>
      <c r="V1" s="3"/>
      <c r="AA1" s="3"/>
      <c r="AB1" s="3"/>
    </row>
    <row r="2" spans="1:44">
      <c r="B2" s="3"/>
      <c r="C2" s="3"/>
      <c r="D2" s="3"/>
      <c r="E2" s="3"/>
      <c r="F2" s="3"/>
      <c r="G2" s="73"/>
      <c r="H2" s="3"/>
      <c r="I2" s="3"/>
      <c r="L2" s="73"/>
      <c r="Q2" s="73"/>
      <c r="V2" s="73"/>
      <c r="AA2" s="73"/>
      <c r="AB2" s="73"/>
    </row>
    <row r="3" spans="1:44" customFormat="1">
      <c r="A3" s="2"/>
      <c r="B3" s="4" t="s">
        <v>35</v>
      </c>
      <c r="C3" s="7" t="s">
        <v>185</v>
      </c>
      <c r="D3" s="7" t="s">
        <v>194</v>
      </c>
      <c r="E3" s="7" t="s">
        <v>199</v>
      </c>
      <c r="F3" s="7" t="s">
        <v>201</v>
      </c>
      <c r="G3" s="7" t="s">
        <v>202</v>
      </c>
      <c r="H3" s="7" t="s">
        <v>205</v>
      </c>
      <c r="I3" s="7" t="s">
        <v>218</v>
      </c>
      <c r="J3" s="7" t="s">
        <v>221</v>
      </c>
      <c r="K3" s="7" t="s">
        <v>223</v>
      </c>
      <c r="L3" s="7" t="s">
        <v>224</v>
      </c>
      <c r="M3" s="7" t="s">
        <v>226</v>
      </c>
      <c r="N3" s="7" t="s">
        <v>228</v>
      </c>
      <c r="O3" s="7" t="s">
        <v>237</v>
      </c>
      <c r="P3" s="7" t="s">
        <v>240</v>
      </c>
      <c r="Q3" s="7" t="s">
        <v>241</v>
      </c>
      <c r="R3" s="7" t="s">
        <v>242</v>
      </c>
      <c r="S3" s="7" t="s">
        <v>243</v>
      </c>
      <c r="T3" s="7" t="s">
        <v>252</v>
      </c>
      <c r="U3" s="7" t="s">
        <v>271</v>
      </c>
      <c r="V3" s="7" t="s">
        <v>272</v>
      </c>
      <c r="W3" s="7" t="s">
        <v>309</v>
      </c>
      <c r="X3" s="7" t="s">
        <v>311</v>
      </c>
      <c r="Y3" s="7" t="s">
        <v>314</v>
      </c>
      <c r="Z3" s="7" t="s">
        <v>324</v>
      </c>
      <c r="AA3" s="7" t="s">
        <v>325</v>
      </c>
      <c r="AB3" s="7" t="s">
        <v>327</v>
      </c>
      <c r="AC3" s="2"/>
      <c r="AD3" s="2"/>
      <c r="AE3" s="2"/>
      <c r="AF3" s="2"/>
      <c r="AG3" s="2"/>
      <c r="AH3" s="2"/>
      <c r="AI3" s="2"/>
      <c r="AJ3" s="2"/>
      <c r="AK3" s="2"/>
      <c r="AL3" s="2"/>
      <c r="AM3" s="2"/>
      <c r="AN3" s="2"/>
      <c r="AO3" s="2"/>
      <c r="AP3" s="2"/>
      <c r="AQ3" s="2"/>
      <c r="AR3" s="2"/>
    </row>
    <row r="4" spans="1:44">
      <c r="B4" s="9" t="s">
        <v>36</v>
      </c>
      <c r="C4" s="120">
        <v>5822</v>
      </c>
      <c r="D4" s="120">
        <v>6079</v>
      </c>
      <c r="E4" s="120">
        <v>5872</v>
      </c>
      <c r="F4" s="120">
        <v>6016</v>
      </c>
      <c r="G4" s="120">
        <f>SUM(C4:F4)</f>
        <v>23789</v>
      </c>
      <c r="H4" s="120">
        <v>7095</v>
      </c>
      <c r="I4" s="120">
        <v>7351</v>
      </c>
      <c r="J4" s="120">
        <v>7536</v>
      </c>
      <c r="K4" s="120">
        <v>8113</v>
      </c>
      <c r="L4" s="120">
        <f>SUM(H4:K4)</f>
        <v>30095</v>
      </c>
      <c r="M4" s="120">
        <v>8711</v>
      </c>
      <c r="N4" s="120">
        <v>8696</v>
      </c>
      <c r="O4" s="120">
        <v>8458</v>
      </c>
      <c r="P4" s="120">
        <v>8421</v>
      </c>
      <c r="Q4" s="120">
        <f>SUM(M4:P4)</f>
        <v>34286</v>
      </c>
      <c r="R4" s="120">
        <v>8234</v>
      </c>
      <c r="S4" s="120">
        <v>8711</v>
      </c>
      <c r="T4" s="120">
        <v>8442</v>
      </c>
      <c r="U4" s="120">
        <v>8783</v>
      </c>
      <c r="V4" s="120">
        <f>SUM(R4:U4)</f>
        <v>34170</v>
      </c>
      <c r="W4" s="120">
        <v>8866</v>
      </c>
      <c r="X4" s="120">
        <v>8551</v>
      </c>
      <c r="Y4" s="120">
        <v>8532</v>
      </c>
      <c r="Z4" s="120">
        <v>8380</v>
      </c>
      <c r="AA4" s="120">
        <f>SUM(W4:Z4)</f>
        <v>34329</v>
      </c>
      <c r="AB4" s="120">
        <v>8606</v>
      </c>
    </row>
    <row r="5" spans="1:44">
      <c r="B5" s="9" t="s">
        <v>37</v>
      </c>
      <c r="C5" s="120">
        <v>-3663</v>
      </c>
      <c r="D5" s="120">
        <v>-3842</v>
      </c>
      <c r="E5" s="120">
        <v>-3761</v>
      </c>
      <c r="F5" s="120">
        <v>-3966</v>
      </c>
      <c r="G5" s="120">
        <f t="shared" ref="G5:G23" si="0">SUM(C5:F5)</f>
        <v>-15232</v>
      </c>
      <c r="H5" s="120">
        <v>-4533</v>
      </c>
      <c r="I5" s="120">
        <v>-4706</v>
      </c>
      <c r="J5" s="120">
        <v>-4835</v>
      </c>
      <c r="K5" s="120">
        <v>-5267</v>
      </c>
      <c r="L5" s="120">
        <f t="shared" ref="L5:L23" si="1">SUM(H5:K5)</f>
        <v>-19341</v>
      </c>
      <c r="M5" s="120">
        <v>-5607</v>
      </c>
      <c r="N5" s="120">
        <v>-5687</v>
      </c>
      <c r="O5" s="120">
        <v>-5478</v>
      </c>
      <c r="P5" s="120">
        <v>-5423</v>
      </c>
      <c r="Q5" s="120">
        <f t="shared" ref="Q5:Q23" si="2">SUM(M5:P5)</f>
        <v>-22195</v>
      </c>
      <c r="R5" s="120">
        <v>-5239</v>
      </c>
      <c r="S5" s="120">
        <v>-5465</v>
      </c>
      <c r="T5" s="120">
        <v>-5386</v>
      </c>
      <c r="U5" s="120">
        <v>-5640</v>
      </c>
      <c r="V5" s="120">
        <f t="shared" ref="V5:V23" si="3">SUM(R5:U5)</f>
        <v>-21730</v>
      </c>
      <c r="W5" s="120">
        <v>-5476</v>
      </c>
      <c r="X5" s="120">
        <v>-5354</v>
      </c>
      <c r="Y5" s="120">
        <v>-5409</v>
      </c>
      <c r="Z5" s="120">
        <v>-5174</v>
      </c>
      <c r="AA5" s="120">
        <f t="shared" ref="AA5" si="4">SUM(W5:Z5)</f>
        <v>-21413</v>
      </c>
      <c r="AB5" s="120">
        <v>-5355</v>
      </c>
    </row>
    <row r="6" spans="1:44">
      <c r="B6" s="12" t="s">
        <v>38</v>
      </c>
      <c r="C6" s="121">
        <f t="shared" ref="C6" si="5">SUM(C4:C5)</f>
        <v>2159</v>
      </c>
      <c r="D6" s="121">
        <f t="shared" ref="D6" si="6">SUM(D4:D5)</f>
        <v>2237</v>
      </c>
      <c r="E6" s="121">
        <f t="shared" ref="E6" si="7">SUM(E4:E5)</f>
        <v>2111</v>
      </c>
      <c r="F6" s="121">
        <f t="shared" ref="F6" si="8">SUM(F4:F5)</f>
        <v>2050</v>
      </c>
      <c r="G6" s="121">
        <f t="shared" ref="G6" si="9">SUM(G4:G5)</f>
        <v>8557</v>
      </c>
      <c r="H6" s="121">
        <f t="shared" ref="H6" si="10">SUM(H4:H5)</f>
        <v>2562</v>
      </c>
      <c r="I6" s="121">
        <f t="shared" ref="I6" si="11">SUM(I4:I5)</f>
        <v>2645</v>
      </c>
      <c r="J6" s="121">
        <f t="shared" ref="J6:L6" si="12">SUM(J4:J5)</f>
        <v>2701</v>
      </c>
      <c r="K6" s="121">
        <f t="shared" si="12"/>
        <v>2846</v>
      </c>
      <c r="L6" s="121">
        <f t="shared" si="12"/>
        <v>10754</v>
      </c>
      <c r="M6" s="121">
        <f t="shared" ref="M6:N6" si="13">SUM(M4:M5)</f>
        <v>3104</v>
      </c>
      <c r="N6" s="121">
        <f t="shared" si="13"/>
        <v>3009</v>
      </c>
      <c r="O6" s="121">
        <f t="shared" ref="O6" si="14">SUM(O4:O5)</f>
        <v>2980</v>
      </c>
      <c r="P6" s="121">
        <f t="shared" ref="P6:R6" si="15">SUM(P4:P5)</f>
        <v>2998</v>
      </c>
      <c r="Q6" s="121">
        <f t="shared" si="15"/>
        <v>12091</v>
      </c>
      <c r="R6" s="121">
        <f t="shared" si="15"/>
        <v>2995</v>
      </c>
      <c r="S6" s="121">
        <f t="shared" ref="S6:T6" si="16">SUM(S4:S5)</f>
        <v>3246</v>
      </c>
      <c r="T6" s="121">
        <f t="shared" si="16"/>
        <v>3056</v>
      </c>
      <c r="U6" s="121">
        <f t="shared" ref="U6" si="17">SUM(U4:U5)</f>
        <v>3143</v>
      </c>
      <c r="V6" s="121">
        <f>SUM(V4:V5)</f>
        <v>12440</v>
      </c>
      <c r="W6" s="121">
        <f t="shared" ref="W6:X6" si="18">SUM(W4:W5)</f>
        <v>3390</v>
      </c>
      <c r="X6" s="121">
        <f t="shared" si="18"/>
        <v>3197</v>
      </c>
      <c r="Y6" s="121">
        <f t="shared" ref="Y6:Z6" si="19">SUM(Y4:Y5)</f>
        <v>3123</v>
      </c>
      <c r="Z6" s="121">
        <f t="shared" si="19"/>
        <v>3206</v>
      </c>
      <c r="AA6" s="121">
        <f>SUM(AA4:AA5)</f>
        <v>12916</v>
      </c>
      <c r="AB6" s="121">
        <f>SUM(AB4:AB5)</f>
        <v>3251</v>
      </c>
    </row>
    <row r="7" spans="1:44">
      <c r="B7" s="9" t="s">
        <v>39</v>
      </c>
      <c r="C7" s="120">
        <v>-447</v>
      </c>
      <c r="D7" s="120">
        <v>-464</v>
      </c>
      <c r="E7" s="120">
        <v>-506</v>
      </c>
      <c r="F7" s="120">
        <v>-473</v>
      </c>
      <c r="G7" s="120">
        <f t="shared" si="0"/>
        <v>-1890</v>
      </c>
      <c r="H7" s="120">
        <v>-523</v>
      </c>
      <c r="I7" s="120">
        <v>-546</v>
      </c>
      <c r="J7" s="120">
        <v>-563</v>
      </c>
      <c r="K7" s="120">
        <v>-610</v>
      </c>
      <c r="L7" s="120">
        <f t="shared" si="1"/>
        <v>-2242</v>
      </c>
      <c r="M7" s="120">
        <v>-637</v>
      </c>
      <c r="N7" s="120">
        <v>-615</v>
      </c>
      <c r="O7" s="120">
        <v>-648</v>
      </c>
      <c r="P7" s="120">
        <v>-626</v>
      </c>
      <c r="Q7" s="120">
        <f t="shared" si="2"/>
        <v>-2526</v>
      </c>
      <c r="R7" s="120">
        <v>-633</v>
      </c>
      <c r="S7" s="120">
        <v>-660</v>
      </c>
      <c r="T7" s="120">
        <v>-618</v>
      </c>
      <c r="U7" s="120">
        <v>-618</v>
      </c>
      <c r="V7" s="120">
        <f t="shared" si="3"/>
        <v>-2529</v>
      </c>
      <c r="W7" s="120">
        <v>-660</v>
      </c>
      <c r="X7" s="120">
        <v>-620</v>
      </c>
      <c r="Y7" s="120">
        <v>-598</v>
      </c>
      <c r="Z7" s="120">
        <v>-607</v>
      </c>
      <c r="AA7" s="120">
        <f t="shared" ref="AA7:AA12" si="20">SUM(W7:Z7)</f>
        <v>-2485</v>
      </c>
      <c r="AB7" s="120">
        <v>-659</v>
      </c>
    </row>
    <row r="8" spans="1:44">
      <c r="B8" s="9" t="s">
        <v>40</v>
      </c>
      <c r="C8" s="120">
        <v>-599</v>
      </c>
      <c r="D8" s="120">
        <v>-583</v>
      </c>
      <c r="E8" s="120">
        <v>-522</v>
      </c>
      <c r="F8" s="120">
        <v>-624</v>
      </c>
      <c r="G8" s="120">
        <f t="shared" si="0"/>
        <v>-2328</v>
      </c>
      <c r="H8" s="120">
        <v>-656</v>
      </c>
      <c r="I8" s="120">
        <v>-650</v>
      </c>
      <c r="J8" s="120">
        <v>-687</v>
      </c>
      <c r="K8" s="120">
        <v>-815</v>
      </c>
      <c r="L8" s="120">
        <f t="shared" si="1"/>
        <v>-2808</v>
      </c>
      <c r="M8" s="120">
        <v>-774</v>
      </c>
      <c r="N8" s="120">
        <v>-763</v>
      </c>
      <c r="O8" s="120">
        <v>-766</v>
      </c>
      <c r="P8" s="120">
        <v>-820</v>
      </c>
      <c r="Q8" s="120">
        <f t="shared" si="2"/>
        <v>-3123</v>
      </c>
      <c r="R8" s="120">
        <v>-801</v>
      </c>
      <c r="S8" s="120">
        <v>-835</v>
      </c>
      <c r="T8" s="120">
        <v>-821</v>
      </c>
      <c r="U8" s="120">
        <v>-922</v>
      </c>
      <c r="V8" s="120">
        <f t="shared" si="3"/>
        <v>-3379</v>
      </c>
      <c r="W8" s="120">
        <v>-893</v>
      </c>
      <c r="X8" s="120">
        <v>-845</v>
      </c>
      <c r="Y8" s="120">
        <v>-801</v>
      </c>
      <c r="Z8" s="120">
        <v>-925</v>
      </c>
      <c r="AA8" s="120">
        <f t="shared" si="20"/>
        <v>-3464</v>
      </c>
      <c r="AB8" s="120">
        <v>-856</v>
      </c>
    </row>
    <row r="9" spans="1:44">
      <c r="B9" s="9" t="s">
        <v>41</v>
      </c>
      <c r="C9" s="120">
        <v>-108</v>
      </c>
      <c r="D9" s="120">
        <v>-104</v>
      </c>
      <c r="E9" s="120">
        <v>-109</v>
      </c>
      <c r="F9" s="120">
        <v>-111</v>
      </c>
      <c r="G9" s="120">
        <f t="shared" si="0"/>
        <v>-432</v>
      </c>
      <c r="H9" s="120">
        <v>-122</v>
      </c>
      <c r="I9" s="120">
        <v>-125</v>
      </c>
      <c r="J9" s="120">
        <v>-132</v>
      </c>
      <c r="K9" s="120">
        <v>-175</v>
      </c>
      <c r="L9" s="120">
        <f t="shared" si="1"/>
        <v>-554</v>
      </c>
      <c r="M9" s="120">
        <v>-178</v>
      </c>
      <c r="N9" s="120">
        <v>-176</v>
      </c>
      <c r="O9" s="120">
        <v>-181</v>
      </c>
      <c r="P9" s="120">
        <v>-162</v>
      </c>
      <c r="Q9" s="120">
        <f t="shared" si="2"/>
        <v>-697</v>
      </c>
      <c r="R9" s="120">
        <v>-173</v>
      </c>
      <c r="S9" s="120">
        <v>-180</v>
      </c>
      <c r="T9" s="120">
        <v>-171</v>
      </c>
      <c r="U9" s="120">
        <v>-186</v>
      </c>
      <c r="V9" s="120">
        <f t="shared" si="3"/>
        <v>-710</v>
      </c>
      <c r="W9" s="120">
        <v>-192</v>
      </c>
      <c r="X9" s="120">
        <v>-184</v>
      </c>
      <c r="Y9" s="120">
        <v>-173</v>
      </c>
      <c r="Z9" s="120">
        <v>-172</v>
      </c>
      <c r="AA9" s="120">
        <f t="shared" si="20"/>
        <v>-721</v>
      </c>
      <c r="AB9" s="120">
        <v>-179</v>
      </c>
    </row>
    <row r="10" spans="1:44">
      <c r="B10" s="9" t="s">
        <v>206</v>
      </c>
      <c r="C10" s="120">
        <v>40</v>
      </c>
      <c r="D10" s="120">
        <v>36</v>
      </c>
      <c r="E10" s="120">
        <v>53</v>
      </c>
      <c r="F10" s="120">
        <v>136</v>
      </c>
      <c r="G10" s="120">
        <f t="shared" si="0"/>
        <v>265</v>
      </c>
      <c r="H10" s="120">
        <v>14</v>
      </c>
      <c r="I10" s="120">
        <v>73</v>
      </c>
      <c r="J10" s="120">
        <v>136</v>
      </c>
      <c r="K10" s="120">
        <v>72</v>
      </c>
      <c r="L10" s="120">
        <f t="shared" si="1"/>
        <v>295</v>
      </c>
      <c r="M10" s="120">
        <v>108</v>
      </c>
      <c r="N10" s="120">
        <v>212</v>
      </c>
      <c r="O10" s="120">
        <v>211</v>
      </c>
      <c r="P10" s="120">
        <v>261</v>
      </c>
      <c r="Q10" s="120">
        <f t="shared" si="2"/>
        <v>792</v>
      </c>
      <c r="R10" s="120">
        <v>142</v>
      </c>
      <c r="S10" s="120">
        <v>105</v>
      </c>
      <c r="T10" s="120">
        <v>128</v>
      </c>
      <c r="U10" s="120">
        <v>221</v>
      </c>
      <c r="V10" s="120">
        <f t="shared" si="3"/>
        <v>596</v>
      </c>
      <c r="W10" s="120">
        <v>110</v>
      </c>
      <c r="X10" s="120">
        <v>140</v>
      </c>
      <c r="Y10" s="120">
        <v>86</v>
      </c>
      <c r="Z10" s="120">
        <v>153</v>
      </c>
      <c r="AA10" s="120">
        <f t="shared" si="20"/>
        <v>489</v>
      </c>
      <c r="AB10" s="120">
        <v>105</v>
      </c>
    </row>
    <row r="11" spans="1:44">
      <c r="B11" s="9" t="s">
        <v>207</v>
      </c>
      <c r="C11" s="120">
        <v>-63</v>
      </c>
      <c r="D11" s="120">
        <v>-87</v>
      </c>
      <c r="E11" s="120">
        <v>-69</v>
      </c>
      <c r="F11" s="120">
        <v>-50</v>
      </c>
      <c r="G11" s="120">
        <f t="shared" si="0"/>
        <v>-269</v>
      </c>
      <c r="H11" s="120">
        <v>-47</v>
      </c>
      <c r="I11" s="120">
        <v>-80</v>
      </c>
      <c r="J11" s="120">
        <v>-177</v>
      </c>
      <c r="K11" s="120">
        <v>-80</v>
      </c>
      <c r="L11" s="120">
        <f t="shared" si="1"/>
        <v>-384</v>
      </c>
      <c r="M11" s="120">
        <v>-216</v>
      </c>
      <c r="N11" s="120">
        <v>-228</v>
      </c>
      <c r="O11" s="120">
        <v>-231</v>
      </c>
      <c r="P11" s="120">
        <v>-342</v>
      </c>
      <c r="Q11" s="120">
        <f t="shared" si="2"/>
        <v>-1017</v>
      </c>
      <c r="R11" s="120">
        <v>-154</v>
      </c>
      <c r="S11" s="120">
        <v>-194</v>
      </c>
      <c r="T11" s="120">
        <v>-254</v>
      </c>
      <c r="U11" s="120">
        <v>-219</v>
      </c>
      <c r="V11" s="120">
        <f t="shared" si="3"/>
        <v>-821</v>
      </c>
      <c r="W11" s="120">
        <v>-292</v>
      </c>
      <c r="X11" s="120">
        <v>-247</v>
      </c>
      <c r="Y11" s="120">
        <v>-234</v>
      </c>
      <c r="Z11" s="120">
        <v>-257</v>
      </c>
      <c r="AA11" s="120">
        <f t="shared" si="20"/>
        <v>-1030</v>
      </c>
      <c r="AB11" s="120">
        <v>-214</v>
      </c>
    </row>
    <row r="12" spans="1:44">
      <c r="B12" s="9" t="s">
        <v>42</v>
      </c>
      <c r="C12" s="120">
        <v>0</v>
      </c>
      <c r="D12" s="120">
        <v>1</v>
      </c>
      <c r="E12" s="120">
        <v>-1</v>
      </c>
      <c r="F12" s="120">
        <v>0</v>
      </c>
      <c r="G12" s="120">
        <f t="shared" si="0"/>
        <v>0</v>
      </c>
      <c r="H12" s="120">
        <v>2</v>
      </c>
      <c r="I12" s="120">
        <v>2</v>
      </c>
      <c r="J12" s="120">
        <v>0</v>
      </c>
      <c r="K12" s="120">
        <v>1</v>
      </c>
      <c r="L12" s="120">
        <f t="shared" si="1"/>
        <v>5</v>
      </c>
      <c r="M12" s="120">
        <v>4</v>
      </c>
      <c r="N12" s="120">
        <v>3</v>
      </c>
      <c r="O12" s="120">
        <v>-4</v>
      </c>
      <c r="P12" s="120">
        <v>-5</v>
      </c>
      <c r="Q12" s="120">
        <f t="shared" si="2"/>
        <v>-2</v>
      </c>
      <c r="R12" s="120">
        <v>3</v>
      </c>
      <c r="S12" s="120">
        <v>1</v>
      </c>
      <c r="T12" s="120">
        <v>0</v>
      </c>
      <c r="U12" s="120">
        <v>1</v>
      </c>
      <c r="V12" s="120">
        <f t="shared" si="3"/>
        <v>5</v>
      </c>
      <c r="W12" s="120">
        <v>-1</v>
      </c>
      <c r="X12" s="120">
        <v>1</v>
      </c>
      <c r="Y12" s="120">
        <v>0</v>
      </c>
      <c r="Z12" s="120">
        <v>1</v>
      </c>
      <c r="AA12" s="120">
        <f t="shared" si="20"/>
        <v>1</v>
      </c>
      <c r="AB12" s="120">
        <v>0</v>
      </c>
    </row>
    <row r="13" spans="1:44">
      <c r="B13" s="12" t="s">
        <v>43</v>
      </c>
      <c r="C13" s="121">
        <f t="shared" ref="C13" si="21">SUM(C6:C12)</f>
        <v>982</v>
      </c>
      <c r="D13" s="121">
        <f t="shared" ref="D13" si="22">SUM(D6:D12)</f>
        <v>1036</v>
      </c>
      <c r="E13" s="121">
        <f t="shared" ref="E13" si="23">SUM(E6:E12)</f>
        <v>957</v>
      </c>
      <c r="F13" s="121">
        <f t="shared" ref="F13" si="24">SUM(F6:F12)</f>
        <v>928</v>
      </c>
      <c r="G13" s="121">
        <f t="shared" ref="G13" si="25">SUM(G6:G12)</f>
        <v>3903</v>
      </c>
      <c r="H13" s="121">
        <f t="shared" ref="H13" si="26">SUM(H6:H12)</f>
        <v>1230</v>
      </c>
      <c r="I13" s="121">
        <f t="shared" ref="I13" si="27">SUM(I6:I12)</f>
        <v>1319</v>
      </c>
      <c r="J13" s="121">
        <f t="shared" ref="J13:L13" si="28">SUM(J6:J12)</f>
        <v>1278</v>
      </c>
      <c r="K13" s="121">
        <f t="shared" si="28"/>
        <v>1239</v>
      </c>
      <c r="L13" s="121">
        <f t="shared" si="28"/>
        <v>5066</v>
      </c>
      <c r="M13" s="121">
        <f t="shared" ref="M13:N13" si="29">SUM(M6:M12)</f>
        <v>1411</v>
      </c>
      <c r="N13" s="121">
        <f t="shared" si="29"/>
        <v>1442</v>
      </c>
      <c r="O13" s="121">
        <f t="shared" ref="O13" si="30">SUM(O6:O12)</f>
        <v>1361</v>
      </c>
      <c r="P13" s="121">
        <f t="shared" ref="P13:R13" si="31">SUM(P6:P12)</f>
        <v>1304</v>
      </c>
      <c r="Q13" s="121">
        <f t="shared" si="31"/>
        <v>5518</v>
      </c>
      <c r="R13" s="121">
        <f t="shared" si="31"/>
        <v>1379</v>
      </c>
      <c r="S13" s="121">
        <f t="shared" ref="S13:T13" si="32">SUM(S6:S12)</f>
        <v>1483</v>
      </c>
      <c r="T13" s="121">
        <f t="shared" si="32"/>
        <v>1320</v>
      </c>
      <c r="U13" s="121">
        <f t="shared" ref="U13:W13" si="33">SUM(U6:U12)</f>
        <v>1420</v>
      </c>
      <c r="V13" s="121">
        <f t="shared" si="33"/>
        <v>5602</v>
      </c>
      <c r="W13" s="121">
        <f t="shared" si="33"/>
        <v>1462</v>
      </c>
      <c r="X13" s="121">
        <f t="shared" ref="X13:AA13" si="34">SUM(X6:X12)</f>
        <v>1442</v>
      </c>
      <c r="Y13" s="121">
        <f t="shared" si="34"/>
        <v>1403</v>
      </c>
      <c r="Z13" s="121">
        <f t="shared" si="34"/>
        <v>1399</v>
      </c>
      <c r="AA13" s="121">
        <f t="shared" si="34"/>
        <v>5706</v>
      </c>
      <c r="AB13" s="121">
        <f t="shared" ref="AB13" si="35">SUM(AB6:AB12)</f>
        <v>1448</v>
      </c>
    </row>
    <row r="14" spans="1:44">
      <c r="B14" s="9" t="s">
        <v>44</v>
      </c>
      <c r="C14" s="120">
        <v>105</v>
      </c>
      <c r="D14" s="120">
        <v>-40</v>
      </c>
      <c r="E14" s="120">
        <v>-20</v>
      </c>
      <c r="F14" s="120">
        <v>-128</v>
      </c>
      <c r="G14" s="120">
        <f t="shared" si="0"/>
        <v>-83</v>
      </c>
      <c r="H14" s="120">
        <v>-25</v>
      </c>
      <c r="I14" s="120">
        <v>-33</v>
      </c>
      <c r="J14" s="120">
        <v>-68</v>
      </c>
      <c r="K14" s="120">
        <v>-115</v>
      </c>
      <c r="L14" s="120">
        <f t="shared" si="1"/>
        <v>-241</v>
      </c>
      <c r="M14" s="120">
        <v>-49</v>
      </c>
      <c r="N14" s="120">
        <v>-194</v>
      </c>
      <c r="O14" s="120">
        <v>-111</v>
      </c>
      <c r="P14" s="120">
        <v>-260</v>
      </c>
      <c r="Q14" s="120">
        <f t="shared" si="2"/>
        <v>-614</v>
      </c>
      <c r="R14" s="120">
        <v>-55</v>
      </c>
      <c r="S14" s="120">
        <v>-111</v>
      </c>
      <c r="T14" s="120">
        <v>-73</v>
      </c>
      <c r="U14" s="120">
        <v>-76</v>
      </c>
      <c r="V14" s="120">
        <f t="shared" si="3"/>
        <v>-315</v>
      </c>
      <c r="W14" s="120">
        <v>-61</v>
      </c>
      <c r="X14" s="120">
        <v>-80</v>
      </c>
      <c r="Y14" s="120">
        <v>-72</v>
      </c>
      <c r="Z14" s="120">
        <v>-176</v>
      </c>
      <c r="AA14" s="120">
        <f t="shared" ref="AA14" si="36">SUM(W14:Z14)</f>
        <v>-389</v>
      </c>
      <c r="AB14" s="120">
        <v>-42</v>
      </c>
    </row>
    <row r="15" spans="1:44">
      <c r="B15" s="12" t="s">
        <v>15</v>
      </c>
      <c r="C15" s="121">
        <f t="shared" ref="C15" si="37">SUM(C13:C14)</f>
        <v>1087</v>
      </c>
      <c r="D15" s="121">
        <f t="shared" ref="D15" si="38">SUM(D13:D14)</f>
        <v>996</v>
      </c>
      <c r="E15" s="121">
        <f t="shared" ref="E15" si="39">SUM(E13:E14)</f>
        <v>937</v>
      </c>
      <c r="F15" s="121">
        <f t="shared" ref="F15" si="40">SUM(F13:F14)</f>
        <v>800</v>
      </c>
      <c r="G15" s="121">
        <f t="shared" ref="G15" si="41">SUM(G13:G14)</f>
        <v>3820</v>
      </c>
      <c r="H15" s="121">
        <f t="shared" ref="H15" si="42">SUM(H13:H14)</f>
        <v>1205</v>
      </c>
      <c r="I15" s="121">
        <f t="shared" ref="I15:J15" si="43">SUM(I13:I14)</f>
        <v>1286</v>
      </c>
      <c r="J15" s="121">
        <f t="shared" si="43"/>
        <v>1210</v>
      </c>
      <c r="K15" s="121">
        <f t="shared" ref="K15:L15" si="44">SUM(K13:K14)</f>
        <v>1124</v>
      </c>
      <c r="L15" s="121">
        <f t="shared" si="44"/>
        <v>4825</v>
      </c>
      <c r="M15" s="121">
        <f t="shared" ref="M15:N15" si="45">SUM(M13:M14)</f>
        <v>1362</v>
      </c>
      <c r="N15" s="121">
        <f t="shared" si="45"/>
        <v>1248</v>
      </c>
      <c r="O15" s="121">
        <f t="shared" ref="O15" si="46">SUM(O13:O14)</f>
        <v>1250</v>
      </c>
      <c r="P15" s="121">
        <f t="shared" ref="P15:R15" si="47">SUM(P13:P14)</f>
        <v>1044</v>
      </c>
      <c r="Q15" s="121">
        <f t="shared" si="47"/>
        <v>4904</v>
      </c>
      <c r="R15" s="121">
        <f t="shared" si="47"/>
        <v>1324</v>
      </c>
      <c r="S15" s="121">
        <f t="shared" ref="S15:T15" si="48">SUM(S13:S14)</f>
        <v>1372</v>
      </c>
      <c r="T15" s="121">
        <f t="shared" si="48"/>
        <v>1247</v>
      </c>
      <c r="U15" s="121">
        <f t="shared" ref="U15:W15" si="49">SUM(U13:U14)</f>
        <v>1344</v>
      </c>
      <c r="V15" s="121">
        <f t="shared" si="49"/>
        <v>5287</v>
      </c>
      <c r="W15" s="121">
        <f t="shared" si="49"/>
        <v>1401</v>
      </c>
      <c r="X15" s="121">
        <f t="shared" ref="X15:AA15" si="50">SUM(X13:X14)</f>
        <v>1362</v>
      </c>
      <c r="Y15" s="121">
        <f t="shared" si="50"/>
        <v>1331</v>
      </c>
      <c r="Z15" s="121">
        <f t="shared" si="50"/>
        <v>1223</v>
      </c>
      <c r="AA15" s="121">
        <f t="shared" si="50"/>
        <v>5317</v>
      </c>
      <c r="AB15" s="121">
        <f t="shared" ref="AB15" si="51">SUM(AB13:AB14)</f>
        <v>1406</v>
      </c>
    </row>
    <row r="16" spans="1:44">
      <c r="B16" s="14" t="s">
        <v>179</v>
      </c>
      <c r="C16" s="120">
        <v>-35</v>
      </c>
      <c r="D16" s="120">
        <v>-37</v>
      </c>
      <c r="E16" s="120">
        <v>-34</v>
      </c>
      <c r="F16" s="120">
        <v>-34</v>
      </c>
      <c r="G16" s="120">
        <f t="shared" si="0"/>
        <v>-140</v>
      </c>
      <c r="H16" s="120">
        <v>-45</v>
      </c>
      <c r="I16" s="120">
        <v>-40</v>
      </c>
      <c r="J16" s="120">
        <v>-69</v>
      </c>
      <c r="K16" s="120">
        <v>-76</v>
      </c>
      <c r="L16" s="120">
        <f t="shared" si="1"/>
        <v>-230</v>
      </c>
      <c r="M16" s="120">
        <v>-165</v>
      </c>
      <c r="N16" s="120">
        <v>140</v>
      </c>
      <c r="O16" s="120">
        <v>-44</v>
      </c>
      <c r="P16" s="120">
        <v>-38</v>
      </c>
      <c r="Q16" s="120">
        <f t="shared" si="2"/>
        <v>-107</v>
      </c>
      <c r="R16" s="120">
        <v>-20</v>
      </c>
      <c r="S16" s="120">
        <v>-63</v>
      </c>
      <c r="T16" s="120">
        <v>-128</v>
      </c>
      <c r="U16" s="120">
        <v>-86</v>
      </c>
      <c r="V16" s="120">
        <f t="shared" si="3"/>
        <v>-297</v>
      </c>
      <c r="W16" s="120">
        <v>-144</v>
      </c>
      <c r="X16" s="120">
        <v>-125</v>
      </c>
      <c r="Y16" s="120">
        <v>-126</v>
      </c>
      <c r="Z16" s="120">
        <v>-111</v>
      </c>
      <c r="AA16" s="120">
        <f t="shared" ref="AA16" si="52">SUM(W16:Z16)</f>
        <v>-506</v>
      </c>
      <c r="AB16" s="120">
        <v>-102</v>
      </c>
    </row>
    <row r="17" spans="2:28">
      <c r="B17" s="12" t="s">
        <v>45</v>
      </c>
      <c r="C17" s="121">
        <f t="shared" ref="C17" si="53">SUM(C15:C16)</f>
        <v>1052</v>
      </c>
      <c r="D17" s="121">
        <f t="shared" ref="D17" si="54">SUM(D15:D16)</f>
        <v>959</v>
      </c>
      <c r="E17" s="121">
        <f t="shared" ref="E17" si="55">SUM(E15:E16)</f>
        <v>903</v>
      </c>
      <c r="F17" s="121">
        <f t="shared" ref="F17" si="56">SUM(F15:F16)</f>
        <v>766</v>
      </c>
      <c r="G17" s="121">
        <f t="shared" ref="G17" si="57">SUM(G15:G16)</f>
        <v>3680</v>
      </c>
      <c r="H17" s="121">
        <f t="shared" ref="H17" si="58">SUM(H15:H16)</f>
        <v>1160</v>
      </c>
      <c r="I17" s="121">
        <f t="shared" ref="I17:J17" si="59">SUM(I15:I16)</f>
        <v>1246</v>
      </c>
      <c r="J17" s="121">
        <f t="shared" si="59"/>
        <v>1141</v>
      </c>
      <c r="K17" s="121">
        <f t="shared" ref="K17:L17" si="60">SUM(K15:K16)</f>
        <v>1048</v>
      </c>
      <c r="L17" s="121">
        <f t="shared" si="60"/>
        <v>4595</v>
      </c>
      <c r="M17" s="121">
        <f t="shared" ref="M17:N17" si="61">SUM(M15:M16)</f>
        <v>1197</v>
      </c>
      <c r="N17" s="121">
        <f t="shared" si="61"/>
        <v>1388</v>
      </c>
      <c r="O17" s="121">
        <f t="shared" ref="O17" si="62">SUM(O15:O16)</f>
        <v>1206</v>
      </c>
      <c r="P17" s="121">
        <f t="shared" ref="P17:R17" si="63">SUM(P15:P16)</f>
        <v>1006</v>
      </c>
      <c r="Q17" s="121">
        <f t="shared" si="63"/>
        <v>4797</v>
      </c>
      <c r="R17" s="121">
        <f t="shared" si="63"/>
        <v>1304</v>
      </c>
      <c r="S17" s="121">
        <f t="shared" ref="S17" si="64">SUM(S15:S16)</f>
        <v>1309</v>
      </c>
      <c r="T17" s="121">
        <f>SUM(T15:T16)</f>
        <v>1119</v>
      </c>
      <c r="U17" s="121">
        <f t="shared" ref="U17:W17" si="65">SUM(U15:U16)</f>
        <v>1258</v>
      </c>
      <c r="V17" s="121">
        <f t="shared" si="65"/>
        <v>4990</v>
      </c>
      <c r="W17" s="121">
        <f t="shared" si="65"/>
        <v>1257</v>
      </c>
      <c r="X17" s="121">
        <f t="shared" ref="X17:AA17" si="66">SUM(X15:X16)</f>
        <v>1237</v>
      </c>
      <c r="Y17" s="121">
        <f t="shared" si="66"/>
        <v>1205</v>
      </c>
      <c r="Z17" s="121">
        <f t="shared" si="66"/>
        <v>1112</v>
      </c>
      <c r="AA17" s="121">
        <f t="shared" si="66"/>
        <v>4811</v>
      </c>
      <c r="AB17" s="121">
        <f t="shared" ref="AB17" si="67">SUM(AB15:AB16)</f>
        <v>1304</v>
      </c>
    </row>
    <row r="18" spans="2:28">
      <c r="B18" s="9" t="s">
        <v>46</v>
      </c>
      <c r="C18" s="120">
        <v>-242</v>
      </c>
      <c r="D18" s="120">
        <v>-245</v>
      </c>
      <c r="E18" s="120">
        <v>-230</v>
      </c>
      <c r="F18" s="120">
        <v>-254</v>
      </c>
      <c r="G18" s="120">
        <f t="shared" si="0"/>
        <v>-971</v>
      </c>
      <c r="H18" s="120">
        <v>-300</v>
      </c>
      <c r="I18" s="120">
        <v>-304</v>
      </c>
      <c r="J18" s="120">
        <v>-279</v>
      </c>
      <c r="K18" s="120">
        <v>-283</v>
      </c>
      <c r="L18" s="120">
        <f t="shared" si="1"/>
        <v>-1166</v>
      </c>
      <c r="M18" s="120">
        <v>-298</v>
      </c>
      <c r="N18" s="120">
        <v>-491</v>
      </c>
      <c r="O18" s="120">
        <v>-301</v>
      </c>
      <c r="P18" s="120">
        <v>-226</v>
      </c>
      <c r="Q18" s="120">
        <f t="shared" si="2"/>
        <v>-1316</v>
      </c>
      <c r="R18" s="120">
        <v>-324</v>
      </c>
      <c r="S18" s="120">
        <v>-321</v>
      </c>
      <c r="T18" s="120">
        <v>-283</v>
      </c>
      <c r="U18" s="120">
        <v>-326</v>
      </c>
      <c r="V18" s="120">
        <f t="shared" si="3"/>
        <v>-1254</v>
      </c>
      <c r="W18" s="120">
        <v>-316</v>
      </c>
      <c r="X18" s="120">
        <v>-314</v>
      </c>
      <c r="Y18" s="120">
        <v>-309</v>
      </c>
      <c r="Z18" s="120">
        <v>-276</v>
      </c>
      <c r="AA18" s="120">
        <f t="shared" ref="AA18" si="68">SUM(W18:Z18)</f>
        <v>-1215</v>
      </c>
      <c r="AB18" s="120">
        <v>-326</v>
      </c>
    </row>
    <row r="19" spans="2:28">
      <c r="B19" s="12" t="s">
        <v>273</v>
      </c>
      <c r="C19" s="121">
        <f t="shared" ref="C19" si="69">SUM(C17:C18)</f>
        <v>810</v>
      </c>
      <c r="D19" s="121">
        <f t="shared" ref="D19" si="70">SUM(D17:D18)</f>
        <v>714</v>
      </c>
      <c r="E19" s="121">
        <f t="shared" ref="E19" si="71">SUM(E17:E18)</f>
        <v>673</v>
      </c>
      <c r="F19" s="121">
        <f t="shared" ref="F19" si="72">SUM(F17:F18)</f>
        <v>512</v>
      </c>
      <c r="G19" s="121">
        <f t="shared" ref="G19" si="73">SUM(G17:G18)</f>
        <v>2709</v>
      </c>
      <c r="H19" s="121">
        <f t="shared" ref="H19" si="74">SUM(H17:H18)</f>
        <v>860</v>
      </c>
      <c r="I19" s="121">
        <f t="shared" ref="I19" si="75">SUM(I17:I18)</f>
        <v>942</v>
      </c>
      <c r="J19" s="121">
        <f t="shared" ref="J19:L19" si="76">SUM(J17:J18)</f>
        <v>862</v>
      </c>
      <c r="K19" s="121">
        <f t="shared" si="76"/>
        <v>765</v>
      </c>
      <c r="L19" s="121">
        <f t="shared" si="76"/>
        <v>3429</v>
      </c>
      <c r="M19" s="121">
        <f t="shared" ref="M19:N19" si="77">SUM(M17:M18)</f>
        <v>899</v>
      </c>
      <c r="N19" s="121">
        <f t="shared" si="77"/>
        <v>897</v>
      </c>
      <c r="O19" s="121">
        <f t="shared" ref="O19" si="78">SUM(O17:O18)</f>
        <v>905</v>
      </c>
      <c r="P19" s="121">
        <f t="shared" ref="P19:R19" si="79">SUM(P17:P18)</f>
        <v>780</v>
      </c>
      <c r="Q19" s="121">
        <f t="shared" si="79"/>
        <v>3481</v>
      </c>
      <c r="R19" s="121">
        <f t="shared" si="79"/>
        <v>980</v>
      </c>
      <c r="S19" s="121">
        <f t="shared" ref="S19:T19" si="80">SUM(S17:S18)</f>
        <v>988</v>
      </c>
      <c r="T19" s="121">
        <f t="shared" si="80"/>
        <v>836</v>
      </c>
      <c r="U19" s="121">
        <f t="shared" ref="U19:W19" si="81">SUM(U17:U18)</f>
        <v>932</v>
      </c>
      <c r="V19" s="121">
        <f t="shared" si="81"/>
        <v>3736</v>
      </c>
      <c r="W19" s="121">
        <f t="shared" si="81"/>
        <v>941</v>
      </c>
      <c r="X19" s="121">
        <f t="shared" ref="X19:AA19" si="82">SUM(X17:X18)</f>
        <v>923</v>
      </c>
      <c r="Y19" s="121">
        <f t="shared" si="82"/>
        <v>896</v>
      </c>
      <c r="Z19" s="121">
        <f t="shared" si="82"/>
        <v>836</v>
      </c>
      <c r="AA19" s="121">
        <f t="shared" si="82"/>
        <v>3596</v>
      </c>
      <c r="AB19" s="121">
        <f t="shared" ref="AB19" si="83">SUM(AB17:AB18)</f>
        <v>978</v>
      </c>
    </row>
    <row r="20" spans="2:28">
      <c r="B20" s="55" t="s">
        <v>165</v>
      </c>
      <c r="C20" s="122">
        <v>294</v>
      </c>
      <c r="D20" s="122">
        <v>278</v>
      </c>
      <c r="E20" s="122">
        <v>195</v>
      </c>
      <c r="F20" s="122">
        <v>240</v>
      </c>
      <c r="G20" s="122">
        <f t="shared" si="0"/>
        <v>1007</v>
      </c>
      <c r="H20" s="122">
        <v>443</v>
      </c>
      <c r="I20" s="122">
        <v>574</v>
      </c>
      <c r="J20" s="122">
        <v>380</v>
      </c>
      <c r="K20" s="122">
        <v>431</v>
      </c>
      <c r="L20" s="122">
        <f t="shared" si="1"/>
        <v>1828</v>
      </c>
      <c r="M20" s="122">
        <v>463</v>
      </c>
      <c r="N20" s="122">
        <v>6130</v>
      </c>
      <c r="O20" s="125">
        <v>0</v>
      </c>
      <c r="P20" s="125">
        <v>0</v>
      </c>
      <c r="Q20" s="122">
        <f t="shared" si="2"/>
        <v>6593</v>
      </c>
      <c r="R20" s="125">
        <v>0</v>
      </c>
      <c r="S20" s="125">
        <v>0</v>
      </c>
      <c r="T20" s="125">
        <v>0</v>
      </c>
      <c r="U20" s="125">
        <v>0</v>
      </c>
      <c r="V20" s="125">
        <v>0</v>
      </c>
      <c r="W20" s="125">
        <v>0</v>
      </c>
      <c r="X20" s="125">
        <v>0</v>
      </c>
      <c r="Y20" s="125">
        <v>0</v>
      </c>
      <c r="Z20" s="125">
        <v>0</v>
      </c>
      <c r="AA20" s="125">
        <v>0</v>
      </c>
      <c r="AB20" s="125">
        <v>0</v>
      </c>
    </row>
    <row r="21" spans="2:28">
      <c r="B21" s="12" t="s">
        <v>274</v>
      </c>
      <c r="C21" s="121">
        <f t="shared" ref="C21" si="84">SUM(C19:C20)</f>
        <v>1104</v>
      </c>
      <c r="D21" s="121">
        <f t="shared" ref="D21" si="85">SUM(D19:D20)</f>
        <v>992</v>
      </c>
      <c r="E21" s="121">
        <f t="shared" ref="E21" si="86">SUM(E19:E20)</f>
        <v>868</v>
      </c>
      <c r="F21" s="121">
        <f t="shared" ref="F21" si="87">SUM(F19:F20)</f>
        <v>752</v>
      </c>
      <c r="G21" s="121">
        <f t="shared" ref="G21" si="88">SUM(G19:G20)</f>
        <v>3716</v>
      </c>
      <c r="H21" s="121">
        <f t="shared" ref="H21" si="89">SUM(H19:H20)</f>
        <v>1303</v>
      </c>
      <c r="I21" s="121">
        <f t="shared" ref="I21" si="90">SUM(I19:I20)</f>
        <v>1516</v>
      </c>
      <c r="J21" s="121">
        <f t="shared" ref="J21:L21" si="91">SUM(J19:J20)</f>
        <v>1242</v>
      </c>
      <c r="K21" s="121">
        <f t="shared" si="91"/>
        <v>1196</v>
      </c>
      <c r="L21" s="121">
        <f t="shared" si="91"/>
        <v>5257</v>
      </c>
      <c r="M21" s="121">
        <f t="shared" ref="M21:N21" si="92">SUM(M19:M20)</f>
        <v>1362</v>
      </c>
      <c r="N21" s="121">
        <f t="shared" si="92"/>
        <v>7027</v>
      </c>
      <c r="O21" s="121">
        <f t="shared" ref="O21" si="93">SUM(O19:O20)</f>
        <v>905</v>
      </c>
      <c r="P21" s="121">
        <f t="shared" ref="P21:R21" si="94">SUM(P19:P20)</f>
        <v>780</v>
      </c>
      <c r="Q21" s="121">
        <f t="shared" si="94"/>
        <v>10074</v>
      </c>
      <c r="R21" s="121">
        <f t="shared" si="94"/>
        <v>980</v>
      </c>
      <c r="S21" s="121">
        <f t="shared" ref="S21:T21" si="95">SUM(S19:S20)</f>
        <v>988</v>
      </c>
      <c r="T21" s="121">
        <f t="shared" si="95"/>
        <v>836</v>
      </c>
      <c r="U21" s="121">
        <f t="shared" ref="U21:W21" si="96">SUM(U19:U20)</f>
        <v>932</v>
      </c>
      <c r="V21" s="121">
        <f t="shared" si="96"/>
        <v>3736</v>
      </c>
      <c r="W21" s="121">
        <f t="shared" si="96"/>
        <v>941</v>
      </c>
      <c r="X21" s="121">
        <f t="shared" ref="X21:AA21" si="97">SUM(X19:X20)</f>
        <v>923</v>
      </c>
      <c r="Y21" s="121">
        <f t="shared" si="97"/>
        <v>896</v>
      </c>
      <c r="Z21" s="121">
        <f t="shared" si="97"/>
        <v>836</v>
      </c>
      <c r="AA21" s="121">
        <f t="shared" si="97"/>
        <v>3596</v>
      </c>
      <c r="AB21" s="121">
        <f t="shared" ref="AB21" si="98">SUM(AB19:AB20)</f>
        <v>978</v>
      </c>
    </row>
    <row r="22" spans="2:28">
      <c r="B22" s="9" t="s">
        <v>48</v>
      </c>
      <c r="C22" s="120">
        <v>1104</v>
      </c>
      <c r="D22" s="120">
        <v>992</v>
      </c>
      <c r="E22" s="120">
        <v>869</v>
      </c>
      <c r="F22" s="120">
        <v>752</v>
      </c>
      <c r="G22" s="120">
        <f t="shared" si="0"/>
        <v>3717</v>
      </c>
      <c r="H22" s="120">
        <v>1303</v>
      </c>
      <c r="I22" s="120">
        <v>1517</v>
      </c>
      <c r="J22" s="120">
        <v>1243</v>
      </c>
      <c r="K22" s="120">
        <v>1197</v>
      </c>
      <c r="L22" s="120">
        <f t="shared" si="1"/>
        <v>5260</v>
      </c>
      <c r="M22" s="120">
        <v>1362</v>
      </c>
      <c r="N22" s="120">
        <v>7027</v>
      </c>
      <c r="O22" s="120">
        <v>906</v>
      </c>
      <c r="P22" s="120">
        <v>780</v>
      </c>
      <c r="Q22" s="120">
        <f t="shared" si="2"/>
        <v>10075</v>
      </c>
      <c r="R22" s="120">
        <v>980</v>
      </c>
      <c r="S22" s="120">
        <v>988</v>
      </c>
      <c r="T22" s="120">
        <v>836</v>
      </c>
      <c r="U22" s="120">
        <v>933</v>
      </c>
      <c r="V22" s="120">
        <f t="shared" si="3"/>
        <v>3737</v>
      </c>
      <c r="W22" s="120">
        <v>941</v>
      </c>
      <c r="X22" s="120">
        <v>923</v>
      </c>
      <c r="Y22" s="120">
        <v>896</v>
      </c>
      <c r="Z22" s="120">
        <v>836</v>
      </c>
      <c r="AA22" s="120">
        <f t="shared" ref="AA22:AA23" si="99">SUM(W22:Z22)</f>
        <v>3596</v>
      </c>
      <c r="AB22" s="120">
        <v>978</v>
      </c>
    </row>
    <row r="23" spans="2:28" s="8" customFormat="1">
      <c r="B23" s="11" t="s">
        <v>108</v>
      </c>
      <c r="C23" s="138">
        <v>0</v>
      </c>
      <c r="D23" s="138">
        <v>0</v>
      </c>
      <c r="E23" s="138">
        <v>-1</v>
      </c>
      <c r="F23" s="138">
        <v>0</v>
      </c>
      <c r="G23" s="138">
        <f t="shared" si="0"/>
        <v>-1</v>
      </c>
      <c r="H23" s="138">
        <v>0</v>
      </c>
      <c r="I23" s="138">
        <v>-1</v>
      </c>
      <c r="J23" s="138">
        <v>-1</v>
      </c>
      <c r="K23" s="138">
        <v>-1</v>
      </c>
      <c r="L23" s="138">
        <f t="shared" si="1"/>
        <v>-3</v>
      </c>
      <c r="M23" s="138">
        <v>0</v>
      </c>
      <c r="N23" s="138">
        <v>0</v>
      </c>
      <c r="O23" s="138">
        <v>-1</v>
      </c>
      <c r="P23" s="138">
        <v>0</v>
      </c>
      <c r="Q23" s="138">
        <f t="shared" si="2"/>
        <v>-1</v>
      </c>
      <c r="R23" s="138">
        <v>0</v>
      </c>
      <c r="S23" s="138">
        <v>0</v>
      </c>
      <c r="T23" s="138">
        <v>0</v>
      </c>
      <c r="U23" s="138">
        <v>-1</v>
      </c>
      <c r="V23" s="138">
        <f t="shared" si="3"/>
        <v>-1</v>
      </c>
      <c r="W23" s="151">
        <v>0</v>
      </c>
      <c r="X23" s="151">
        <v>0</v>
      </c>
      <c r="Y23" s="154">
        <v>0</v>
      </c>
      <c r="Z23" s="138">
        <v>0</v>
      </c>
      <c r="AA23" s="138">
        <f t="shared" si="99"/>
        <v>0</v>
      </c>
      <c r="AB23" s="151">
        <v>0</v>
      </c>
    </row>
    <row r="24" spans="2:28">
      <c r="B24" s="11"/>
      <c r="C24" s="11"/>
      <c r="D24" s="11"/>
      <c r="E24" s="11"/>
      <c r="F24" s="11"/>
      <c r="G24" s="11"/>
      <c r="H24" s="11"/>
      <c r="I24" s="11"/>
      <c r="J24" s="1"/>
      <c r="K24" s="1"/>
      <c r="L24" s="11"/>
      <c r="M24" s="1"/>
      <c r="N24" s="1"/>
      <c r="O24" s="1"/>
      <c r="P24" s="1"/>
      <c r="Q24" s="11"/>
      <c r="R24" s="1"/>
      <c r="S24" s="1"/>
      <c r="T24" s="1"/>
      <c r="U24" s="1"/>
      <c r="V24" s="11"/>
      <c r="W24" s="1"/>
      <c r="X24" s="1"/>
      <c r="Y24" s="1"/>
      <c r="Z24" s="1"/>
      <c r="AA24" s="11"/>
      <c r="AB24" s="11"/>
    </row>
    <row r="25" spans="2:28">
      <c r="B25" s="16"/>
      <c r="C25" s="16"/>
      <c r="D25" s="16"/>
      <c r="E25" s="16"/>
      <c r="F25" s="16"/>
      <c r="G25" s="16"/>
      <c r="H25" s="16"/>
      <c r="I25" s="16"/>
      <c r="L25" s="16"/>
      <c r="Q25" s="16"/>
      <c r="V25" s="16"/>
      <c r="AA25" s="16"/>
      <c r="AB25" s="16"/>
    </row>
    <row r="26" spans="2:28">
      <c r="B26" s="4" t="s">
        <v>182</v>
      </c>
      <c r="C26" s="7" t="s">
        <v>185</v>
      </c>
      <c r="D26" s="7" t="s">
        <v>194</v>
      </c>
      <c r="E26" s="7" t="s">
        <v>199</v>
      </c>
      <c r="F26" s="7" t="s">
        <v>201</v>
      </c>
      <c r="G26" s="7" t="s">
        <v>202</v>
      </c>
      <c r="H26" s="7" t="s">
        <v>205</v>
      </c>
      <c r="I26" s="7" t="s">
        <v>218</v>
      </c>
      <c r="J26" s="7" t="s">
        <v>221</v>
      </c>
      <c r="K26" s="7" t="s">
        <v>223</v>
      </c>
      <c r="L26" s="7" t="s">
        <v>224</v>
      </c>
      <c r="M26" s="7" t="s">
        <v>226</v>
      </c>
      <c r="N26" s="7" t="s">
        <v>228</v>
      </c>
      <c r="O26" s="7" t="str">
        <f>O3</f>
        <v>Kv3 2023</v>
      </c>
      <c r="P26" s="7" t="str">
        <f>P3</f>
        <v>Kv4 2023</v>
      </c>
      <c r="Q26" s="7" t="s">
        <v>241</v>
      </c>
      <c r="R26" s="7" t="s">
        <v>242</v>
      </c>
      <c r="S26" s="7" t="str">
        <f>+S3</f>
        <v>Kv2 2024</v>
      </c>
      <c r="T26" s="7" t="str">
        <f>+T3</f>
        <v>Kv3 2024</v>
      </c>
      <c r="U26" s="7" t="str">
        <f>+U3</f>
        <v>Kv4 2024</v>
      </c>
      <c r="V26" s="7" t="str">
        <f>+$V$3</f>
        <v>12M 2024</v>
      </c>
      <c r="W26" s="7" t="str">
        <f>+$W$3</f>
        <v>Kv1 2025</v>
      </c>
      <c r="X26" s="7" t="str">
        <f>+X3</f>
        <v>Kv2 2025</v>
      </c>
      <c r="Y26" s="7" t="str">
        <f>+Y3</f>
        <v>Kv3 2025</v>
      </c>
      <c r="Z26" s="7" t="str">
        <f>+Z3</f>
        <v>Kv4 2025</v>
      </c>
      <c r="AA26" s="7" t="str">
        <f>+$AA$3</f>
        <v>12M 2025</v>
      </c>
      <c r="AB26" s="7" t="str">
        <f>+$AB$3</f>
        <v>Kv1 2026</v>
      </c>
    </row>
    <row r="27" spans="2:28">
      <c r="B27" s="9" t="s">
        <v>166</v>
      </c>
      <c r="C27" s="80">
        <v>2.99</v>
      </c>
      <c r="D27" s="80">
        <v>2.63</v>
      </c>
      <c r="E27" s="80">
        <v>2.4900000000000002</v>
      </c>
      <c r="F27" s="80">
        <v>1.89</v>
      </c>
      <c r="G27" s="80">
        <v>10</v>
      </c>
      <c r="H27" s="80">
        <v>3.17</v>
      </c>
      <c r="I27" s="80">
        <v>3.52</v>
      </c>
      <c r="J27" s="80">
        <v>3.33</v>
      </c>
      <c r="K27" s="80">
        <v>2.98</v>
      </c>
      <c r="L27" s="80">
        <v>13.01</v>
      </c>
      <c r="M27" s="80">
        <v>3.52</v>
      </c>
      <c r="N27" s="80">
        <v>3.55</v>
      </c>
      <c r="O27" s="80">
        <v>3.84</v>
      </c>
      <c r="P27" s="80">
        <v>3.4</v>
      </c>
      <c r="Q27" s="80">
        <v>14.31</v>
      </c>
      <c r="R27" s="80">
        <v>4.0599999999999996</v>
      </c>
      <c r="S27" s="80">
        <v>4.1399999999999997</v>
      </c>
      <c r="T27" s="80">
        <v>3.54</v>
      </c>
      <c r="U27" s="80">
        <v>3.99</v>
      </c>
      <c r="V27" s="80">
        <f>+SUM(R27:U27)</f>
        <v>15.729999999999999</v>
      </c>
      <c r="W27" s="80">
        <v>4.08</v>
      </c>
      <c r="X27" s="80">
        <v>4.03</v>
      </c>
      <c r="Y27" s="80">
        <v>3.94</v>
      </c>
      <c r="Z27" s="80">
        <v>3.71</v>
      </c>
      <c r="AA27" s="80">
        <v>15.76</v>
      </c>
      <c r="AB27" s="80">
        <v>4.3499999999999996</v>
      </c>
    </row>
    <row r="28" spans="2:28">
      <c r="B28" s="9" t="s">
        <v>12</v>
      </c>
      <c r="C28" s="80">
        <v>1.08</v>
      </c>
      <c r="D28" s="80">
        <v>1.03</v>
      </c>
      <c r="E28" s="80">
        <v>0.72</v>
      </c>
      <c r="F28" s="80">
        <v>0.89</v>
      </c>
      <c r="G28" s="80">
        <v>3.71</v>
      </c>
      <c r="H28" s="80">
        <v>1.63</v>
      </c>
      <c r="I28" s="105">
        <v>2.16</v>
      </c>
      <c r="J28" s="80">
        <v>1.46</v>
      </c>
      <c r="K28" s="80">
        <v>1.68</v>
      </c>
      <c r="L28" s="80">
        <v>6.93</v>
      </c>
      <c r="M28" s="80">
        <v>1.81</v>
      </c>
      <c r="N28" s="80">
        <v>24.12</v>
      </c>
      <c r="O28" s="116">
        <v>0</v>
      </c>
      <c r="P28" s="116">
        <v>0</v>
      </c>
      <c r="Q28" s="119">
        <v>25.93</v>
      </c>
      <c r="R28" s="116">
        <v>0</v>
      </c>
      <c r="S28" s="116">
        <v>0</v>
      </c>
      <c r="T28" s="116">
        <v>0</v>
      </c>
      <c r="U28" s="116">
        <v>0</v>
      </c>
      <c r="V28" s="144" t="s">
        <v>295</v>
      </c>
      <c r="W28" s="144" t="s">
        <v>295</v>
      </c>
      <c r="X28" s="144" t="s">
        <v>295</v>
      </c>
      <c r="Y28" s="144" t="s">
        <v>295</v>
      </c>
      <c r="Z28" s="144" t="s">
        <v>295</v>
      </c>
      <c r="AA28" s="144" t="s">
        <v>295</v>
      </c>
      <c r="AB28" s="144" t="s">
        <v>295</v>
      </c>
    </row>
    <row r="29" spans="2:28">
      <c r="B29" s="12" t="s">
        <v>275</v>
      </c>
      <c r="C29" s="133">
        <f t="shared" ref="C29:G29" si="100">SUM(C27:C28)</f>
        <v>4.07</v>
      </c>
      <c r="D29" s="133">
        <f t="shared" si="100"/>
        <v>3.66</v>
      </c>
      <c r="E29" s="133">
        <f t="shared" si="100"/>
        <v>3.21</v>
      </c>
      <c r="F29" s="133">
        <f t="shared" si="100"/>
        <v>2.78</v>
      </c>
      <c r="G29" s="133">
        <f t="shared" si="100"/>
        <v>13.71</v>
      </c>
      <c r="H29" s="133">
        <f t="shared" ref="H29" si="101">SUM(H27:H28)</f>
        <v>4.8</v>
      </c>
      <c r="I29" s="133">
        <f t="shared" ref="I29:J29" si="102">SUM(I27:I28)</f>
        <v>5.68</v>
      </c>
      <c r="J29" s="133">
        <f t="shared" si="102"/>
        <v>4.79</v>
      </c>
      <c r="K29" s="133">
        <f t="shared" ref="K29:L29" si="103">SUM(K27:K28)</f>
        <v>4.66</v>
      </c>
      <c r="L29" s="133">
        <f t="shared" si="103"/>
        <v>19.939999999999998</v>
      </c>
      <c r="M29" s="133">
        <f t="shared" ref="M29:N29" si="104">SUM(M27:M28)</f>
        <v>5.33</v>
      </c>
      <c r="N29" s="133">
        <f t="shared" si="104"/>
        <v>27.67</v>
      </c>
      <c r="O29" s="133">
        <f t="shared" ref="O29" si="105">SUM(O27:O28)</f>
        <v>3.84</v>
      </c>
      <c r="P29" s="133">
        <f t="shared" ref="P29:R29" si="106">SUM(P27:P28)</f>
        <v>3.4</v>
      </c>
      <c r="Q29" s="133">
        <f t="shared" si="106"/>
        <v>40.24</v>
      </c>
      <c r="R29" s="133">
        <f t="shared" si="106"/>
        <v>4.0599999999999996</v>
      </c>
      <c r="S29" s="133">
        <f t="shared" ref="S29:U29" si="107">SUM(S27:S28)</f>
        <v>4.1399999999999997</v>
      </c>
      <c r="T29" s="133">
        <f t="shared" si="107"/>
        <v>3.54</v>
      </c>
      <c r="U29" s="133">
        <f t="shared" si="107"/>
        <v>3.99</v>
      </c>
      <c r="V29" s="133">
        <f>SUM(V27:V28)</f>
        <v>15.729999999999999</v>
      </c>
      <c r="W29" s="133">
        <f t="shared" ref="W29:X29" si="108">SUM(W27:W28)</f>
        <v>4.08</v>
      </c>
      <c r="X29" s="133">
        <f t="shared" si="108"/>
        <v>4.03</v>
      </c>
      <c r="Y29" s="162">
        <f t="shared" ref="Y29:Z29" si="109">SUM(Y27:Y28)</f>
        <v>3.94</v>
      </c>
      <c r="Z29" s="133">
        <f t="shared" si="109"/>
        <v>3.71</v>
      </c>
      <c r="AA29" s="133">
        <f>SUM(AA27:AA28)</f>
        <v>15.76</v>
      </c>
      <c r="AB29" s="133">
        <f>SUM(AB27:AB28)</f>
        <v>4.3499999999999996</v>
      </c>
    </row>
    <row r="30" spans="2:28">
      <c r="B30" s="59" t="s">
        <v>203</v>
      </c>
      <c r="C30" s="59">
        <v>3.82</v>
      </c>
      <c r="D30" s="59">
        <v>3.81</v>
      </c>
      <c r="E30" s="59">
        <v>3.32</v>
      </c>
      <c r="F30" s="80">
        <v>3.3</v>
      </c>
      <c r="G30" s="80">
        <v>14.24</v>
      </c>
      <c r="H30" s="80">
        <v>4.9000000000000004</v>
      </c>
      <c r="I30" s="59">
        <v>5.81</v>
      </c>
      <c r="J30" s="60">
        <v>5</v>
      </c>
      <c r="K30" s="60">
        <v>5.0999999999999996</v>
      </c>
      <c r="L30" s="80">
        <v>20.81</v>
      </c>
      <c r="M30" s="60">
        <v>5.58</v>
      </c>
      <c r="N30" s="60">
        <v>28.83</v>
      </c>
      <c r="O30" s="60">
        <v>4.1900000000000004</v>
      </c>
      <c r="P30" s="60">
        <v>4.08</v>
      </c>
      <c r="Q30" s="80">
        <v>42.68</v>
      </c>
      <c r="R30" s="60">
        <v>4.2300000000000004</v>
      </c>
      <c r="S30" s="60">
        <v>4.49</v>
      </c>
      <c r="T30" s="60">
        <v>3.78</v>
      </c>
      <c r="U30" s="60">
        <v>4.24</v>
      </c>
      <c r="V30" s="80">
        <f>+SUM(R30:U30)</f>
        <v>16.740000000000002</v>
      </c>
      <c r="W30" s="60">
        <v>4.28</v>
      </c>
      <c r="X30" s="60">
        <v>4.3099999999999996</v>
      </c>
      <c r="Y30" s="60">
        <v>4.2</v>
      </c>
      <c r="Z30" s="60">
        <v>4.3</v>
      </c>
      <c r="AA30" s="80">
        <v>17.09</v>
      </c>
      <c r="AB30" s="80">
        <v>4.5</v>
      </c>
    </row>
    <row r="31" spans="2:28" s="8" customFormat="1">
      <c r="B31" s="59" t="s">
        <v>186</v>
      </c>
      <c r="C31" s="59">
        <v>2.68</v>
      </c>
      <c r="D31" s="59">
        <v>2.75</v>
      </c>
      <c r="E31" s="59">
        <v>2.5499999999999998</v>
      </c>
      <c r="F31" s="59">
        <v>2.2799999999999998</v>
      </c>
      <c r="G31" s="59">
        <v>10.26</v>
      </c>
      <c r="H31" s="59">
        <v>3.25</v>
      </c>
      <c r="I31" s="59">
        <v>3.63</v>
      </c>
      <c r="J31" s="59">
        <v>3.52</v>
      </c>
      <c r="K31" s="60">
        <v>3.4</v>
      </c>
      <c r="L31" s="60">
        <v>13.8</v>
      </c>
      <c r="M31" s="60">
        <v>3.66</v>
      </c>
      <c r="N31" s="60">
        <v>4.71</v>
      </c>
      <c r="O31" s="60">
        <v>4.1900000000000004</v>
      </c>
      <c r="P31" s="60">
        <v>4.08</v>
      </c>
      <c r="Q31" s="60">
        <v>16.64</v>
      </c>
      <c r="R31" s="60">
        <v>4.2300000000000004</v>
      </c>
      <c r="S31" s="60">
        <v>4.49</v>
      </c>
      <c r="T31" s="60">
        <v>3.78</v>
      </c>
      <c r="U31" s="60">
        <v>4.24</v>
      </c>
      <c r="V31" s="60">
        <f>+SUM(R31:U31)</f>
        <v>16.740000000000002</v>
      </c>
      <c r="W31" s="60">
        <v>4.28</v>
      </c>
      <c r="X31" s="60">
        <v>4.3099999999999996</v>
      </c>
      <c r="Y31" s="60">
        <v>4.2</v>
      </c>
      <c r="Z31" s="60">
        <v>4.3</v>
      </c>
      <c r="AA31" s="80">
        <v>17.09</v>
      </c>
      <c r="AB31" s="80">
        <v>4.5</v>
      </c>
    </row>
    <row r="32" spans="2:28">
      <c r="B32" s="134"/>
      <c r="C32" s="59"/>
      <c r="D32" s="59"/>
      <c r="E32" s="59"/>
      <c r="F32" s="59"/>
      <c r="G32" s="59"/>
      <c r="H32" s="59"/>
      <c r="I32" s="59"/>
      <c r="J32" s="59"/>
      <c r="K32" s="60"/>
      <c r="L32" s="60"/>
      <c r="M32" s="60"/>
      <c r="N32" s="60"/>
      <c r="O32" s="60"/>
      <c r="P32" s="60"/>
      <c r="Q32" s="60"/>
      <c r="R32" s="60"/>
      <c r="S32" s="60"/>
      <c r="T32" s="60"/>
      <c r="U32" s="60"/>
      <c r="V32" s="60"/>
      <c r="W32" s="60"/>
      <c r="X32" s="60"/>
      <c r="Y32" s="60"/>
      <c r="Z32" s="60"/>
      <c r="AA32" s="60"/>
      <c r="AB32" s="60"/>
    </row>
    <row r="33" spans="2:28">
      <c r="B33" s="68" t="s">
        <v>276</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row>
    <row r="34" spans="2:28">
      <c r="B34" s="17" t="s">
        <v>208</v>
      </c>
      <c r="C34" s="18">
        <v>271071783</v>
      </c>
      <c r="D34" s="18">
        <v>271071783</v>
      </c>
      <c r="E34" s="18">
        <v>271071783</v>
      </c>
      <c r="F34" s="18">
        <v>271071783</v>
      </c>
      <c r="G34" s="18">
        <v>271071783</v>
      </c>
      <c r="H34" s="18">
        <v>271071783</v>
      </c>
      <c r="I34" s="18">
        <v>271071783</v>
      </c>
      <c r="J34" s="18">
        <v>271071783</v>
      </c>
      <c r="K34" s="18">
        <v>271071783</v>
      </c>
      <c r="L34" s="18">
        <v>271071783</v>
      </c>
      <c r="M34" s="18">
        <v>271071783</v>
      </c>
      <c r="N34" s="18">
        <v>255125919</v>
      </c>
      <c r="O34" s="18">
        <v>255125919</v>
      </c>
      <c r="P34" s="18">
        <v>255125919</v>
      </c>
      <c r="Q34" s="18">
        <v>255125919</v>
      </c>
      <c r="R34" s="18">
        <v>255125919</v>
      </c>
      <c r="S34" s="18">
        <v>241547186</v>
      </c>
      <c r="T34" s="18">
        <v>241547186</v>
      </c>
      <c r="U34" s="18">
        <v>241547186</v>
      </c>
      <c r="V34" s="18">
        <f>+U34</f>
        <v>241547186</v>
      </c>
      <c r="W34" s="18">
        <v>241547186</v>
      </c>
      <c r="X34" s="18">
        <v>231328373</v>
      </c>
      <c r="Y34" s="18">
        <v>231328373</v>
      </c>
      <c r="Z34" s="18">
        <v>231328373</v>
      </c>
      <c r="AA34" s="18">
        <f>+Z34</f>
        <v>231328373</v>
      </c>
      <c r="AB34" s="18">
        <v>231328373</v>
      </c>
    </row>
    <row r="35" spans="2:28">
      <c r="B35" s="88" t="s">
        <v>292</v>
      </c>
      <c r="C35" s="15">
        <v>0</v>
      </c>
      <c r="D35" s="15">
        <v>0</v>
      </c>
      <c r="E35" s="15">
        <v>0</v>
      </c>
      <c r="F35" s="15">
        <v>0</v>
      </c>
      <c r="G35" s="15">
        <v>0</v>
      </c>
      <c r="H35" s="18">
        <v>369968</v>
      </c>
      <c r="I35" s="18">
        <v>6750489</v>
      </c>
      <c r="J35" s="18">
        <v>12088501</v>
      </c>
      <c r="K35" s="18">
        <v>13691970</v>
      </c>
      <c r="L35" s="18">
        <v>13691970</v>
      </c>
      <c r="M35" s="18">
        <v>16199134</v>
      </c>
      <c r="N35" s="18">
        <v>3715732</v>
      </c>
      <c r="O35" s="18">
        <v>8108836</v>
      </c>
      <c r="P35" s="18">
        <v>11696591</v>
      </c>
      <c r="Q35" s="18">
        <v>11696591</v>
      </c>
      <c r="R35" s="18">
        <v>14773278</v>
      </c>
      <c r="S35" s="18">
        <v>3536102</v>
      </c>
      <c r="T35" s="18">
        <v>5437628</v>
      </c>
      <c r="U35" s="18">
        <v>9094230</v>
      </c>
      <c r="V35" s="18">
        <f>+U35</f>
        <v>9094230</v>
      </c>
      <c r="W35" s="18">
        <v>11590248</v>
      </c>
      <c r="X35" s="18">
        <v>3056323</v>
      </c>
      <c r="Y35" s="18">
        <v>4582894</v>
      </c>
      <c r="Z35" s="18">
        <v>5919118</v>
      </c>
      <c r="AA35" s="18">
        <f>+Z35</f>
        <v>5919118</v>
      </c>
      <c r="AB35" s="18">
        <v>7250911</v>
      </c>
    </row>
    <row r="36" spans="2:28">
      <c r="B36" s="17" t="s">
        <v>278</v>
      </c>
      <c r="C36" s="18">
        <v>271071783</v>
      </c>
      <c r="D36" s="18">
        <v>271071783</v>
      </c>
      <c r="E36" s="18">
        <v>271071783</v>
      </c>
      <c r="F36" s="18">
        <v>271071783</v>
      </c>
      <c r="G36" s="18">
        <v>271071783</v>
      </c>
      <c r="H36" s="18">
        <v>271065428</v>
      </c>
      <c r="I36" s="18">
        <v>266727532</v>
      </c>
      <c r="J36" s="18">
        <v>259940103</v>
      </c>
      <c r="K36" s="18">
        <v>257803579</v>
      </c>
      <c r="L36" s="18">
        <v>263885220</v>
      </c>
      <c r="M36" s="18">
        <v>255707668</v>
      </c>
      <c r="N36" s="18">
        <v>252702014</v>
      </c>
      <c r="O36" s="18">
        <v>248460458</v>
      </c>
      <c r="P36" s="18">
        <v>244527357</v>
      </c>
      <c r="Q36" s="18">
        <v>250349374</v>
      </c>
      <c r="R36" s="18">
        <v>241318462</v>
      </c>
      <c r="S36" s="18">
        <v>238738671</v>
      </c>
      <c r="T36" s="18">
        <v>236633571</v>
      </c>
      <c r="U36" s="18">
        <v>233604607</v>
      </c>
      <c r="V36" s="18">
        <v>237573828</v>
      </c>
      <c r="W36" s="18">
        <v>230773406</v>
      </c>
      <c r="X36" s="18">
        <v>228728646</v>
      </c>
      <c r="Y36" s="18">
        <v>227236832</v>
      </c>
      <c r="Z36" s="18">
        <v>225813404</v>
      </c>
      <c r="AA36" s="18">
        <v>228138072</v>
      </c>
      <c r="AB36" s="18">
        <v>224544324</v>
      </c>
    </row>
    <row r="37" spans="2:28">
      <c r="B37" s="134" t="s">
        <v>277</v>
      </c>
      <c r="C37" s="65"/>
      <c r="D37" s="65"/>
      <c r="E37" s="65"/>
      <c r="F37" s="65"/>
      <c r="G37" s="65"/>
      <c r="H37" s="65"/>
      <c r="I37" s="65"/>
      <c r="L37" s="65"/>
      <c r="Q37" s="65"/>
      <c r="V37" s="65"/>
      <c r="AA37" s="65"/>
      <c r="AB37" s="65"/>
    </row>
    <row r="38" spans="2:28">
      <c r="B38" s="57"/>
      <c r="C38" s="57"/>
      <c r="D38" s="57"/>
      <c r="E38" s="57"/>
      <c r="F38" s="57"/>
      <c r="G38" s="57"/>
      <c r="H38" s="57"/>
      <c r="I38" s="57"/>
      <c r="L38" s="57"/>
      <c r="Q38" s="57"/>
      <c r="V38" s="57"/>
      <c r="AA38" s="57"/>
      <c r="AB38" s="57"/>
    </row>
    <row r="39" spans="2:28">
      <c r="B39" s="75"/>
      <c r="C39" s="17"/>
      <c r="D39" s="17"/>
      <c r="E39" s="17"/>
      <c r="F39" s="17"/>
      <c r="G39" s="17"/>
      <c r="H39" s="17"/>
      <c r="I39" s="75"/>
      <c r="L39" s="17"/>
      <c r="Q39" s="17"/>
      <c r="V39" s="17"/>
      <c r="AA39" s="17"/>
      <c r="AB39" s="17"/>
    </row>
    <row r="40" spans="2:28">
      <c r="B40" s="4" t="s">
        <v>117</v>
      </c>
      <c r="C40" s="7" t="s">
        <v>185</v>
      </c>
      <c r="D40" s="7" t="s">
        <v>194</v>
      </c>
      <c r="E40" s="7" t="s">
        <v>199</v>
      </c>
      <c r="F40" s="7" t="s">
        <v>201</v>
      </c>
      <c r="G40" s="7" t="s">
        <v>202</v>
      </c>
      <c r="H40" s="7" t="s">
        <v>205</v>
      </c>
      <c r="I40" s="7" t="s">
        <v>218</v>
      </c>
      <c r="J40" s="7" t="s">
        <v>221</v>
      </c>
      <c r="K40" s="7" t="s">
        <v>223</v>
      </c>
      <c r="L40" s="7" t="s">
        <v>224</v>
      </c>
      <c r="M40" s="7" t="s">
        <v>226</v>
      </c>
      <c r="N40" s="7" t="s">
        <v>228</v>
      </c>
      <c r="O40" s="7" t="str">
        <f>O3</f>
        <v>Kv3 2023</v>
      </c>
      <c r="P40" s="7" t="str">
        <f>P3</f>
        <v>Kv4 2023</v>
      </c>
      <c r="Q40" s="7" t="s">
        <v>241</v>
      </c>
      <c r="R40" s="7" t="s">
        <v>242</v>
      </c>
      <c r="S40" s="7" t="str">
        <f>+S26</f>
        <v>Kv2 2024</v>
      </c>
      <c r="T40" s="7" t="str">
        <f>+T26</f>
        <v>Kv3 2024</v>
      </c>
      <c r="U40" s="7" t="str">
        <f>+U26</f>
        <v>Kv4 2024</v>
      </c>
      <c r="V40" s="7" t="str">
        <f>+$V$3</f>
        <v>12M 2024</v>
      </c>
      <c r="W40" s="7" t="str">
        <f>+$W$3</f>
        <v>Kv1 2025</v>
      </c>
      <c r="X40" s="7" t="str">
        <f>+X26</f>
        <v>Kv2 2025</v>
      </c>
      <c r="Y40" s="7" t="str">
        <f>+Y26</f>
        <v>Kv3 2025</v>
      </c>
      <c r="Z40" s="7" t="str">
        <f>+Z26</f>
        <v>Kv4 2025</v>
      </c>
      <c r="AA40" s="7" t="str">
        <f>+$AA$3</f>
        <v>12M 2025</v>
      </c>
      <c r="AB40" s="7" t="str">
        <f>+$AB$3</f>
        <v>Kv1 2026</v>
      </c>
    </row>
    <row r="41" spans="2:28">
      <c r="B41" s="49" t="s">
        <v>47</v>
      </c>
      <c r="C41" s="18">
        <f t="shared" ref="C41:V41" si="110">C21</f>
        <v>1104</v>
      </c>
      <c r="D41" s="18">
        <f t="shared" si="110"/>
        <v>992</v>
      </c>
      <c r="E41" s="18">
        <f t="shared" si="110"/>
        <v>868</v>
      </c>
      <c r="F41" s="18">
        <f t="shared" si="110"/>
        <v>752</v>
      </c>
      <c r="G41" s="18">
        <f t="shared" si="110"/>
        <v>3716</v>
      </c>
      <c r="H41" s="18">
        <f t="shared" si="110"/>
        <v>1303</v>
      </c>
      <c r="I41" s="18">
        <f t="shared" si="110"/>
        <v>1516</v>
      </c>
      <c r="J41" s="18">
        <f t="shared" si="110"/>
        <v>1242</v>
      </c>
      <c r="K41" s="18">
        <f t="shared" si="110"/>
        <v>1196</v>
      </c>
      <c r="L41" s="18">
        <f t="shared" si="110"/>
        <v>5257</v>
      </c>
      <c r="M41" s="18">
        <f t="shared" si="110"/>
        <v>1362</v>
      </c>
      <c r="N41" s="18">
        <f t="shared" si="110"/>
        <v>7027</v>
      </c>
      <c r="O41" s="18">
        <f t="shared" si="110"/>
        <v>905</v>
      </c>
      <c r="P41" s="18">
        <f t="shared" si="110"/>
        <v>780</v>
      </c>
      <c r="Q41" s="18">
        <f t="shared" si="110"/>
        <v>10074</v>
      </c>
      <c r="R41" s="18">
        <f t="shared" si="110"/>
        <v>980</v>
      </c>
      <c r="S41" s="18">
        <f t="shared" si="110"/>
        <v>988</v>
      </c>
      <c r="T41" s="18">
        <f t="shared" si="110"/>
        <v>836</v>
      </c>
      <c r="U41" s="18">
        <f t="shared" si="110"/>
        <v>932</v>
      </c>
      <c r="V41" s="18">
        <f t="shared" si="110"/>
        <v>3736</v>
      </c>
      <c r="W41" s="18">
        <f t="shared" ref="W41:X41" si="111">W21</f>
        <v>941</v>
      </c>
      <c r="X41" s="18">
        <f t="shared" si="111"/>
        <v>923</v>
      </c>
      <c r="Y41" s="18">
        <f t="shared" ref="Y41:AA41" si="112">Y21</f>
        <v>896</v>
      </c>
      <c r="Z41" s="18">
        <f t="shared" si="112"/>
        <v>836</v>
      </c>
      <c r="AA41" s="18">
        <f t="shared" si="112"/>
        <v>3596</v>
      </c>
      <c r="AB41" s="18">
        <v>978</v>
      </c>
    </row>
    <row r="42" spans="2:28">
      <c r="B42" s="34" t="s">
        <v>116</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row>
    <row r="43" spans="2:28">
      <c r="B43" s="34" t="s">
        <v>118</v>
      </c>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row>
    <row r="44" spans="2:28">
      <c r="B44" s="17" t="s">
        <v>183</v>
      </c>
      <c r="C44" s="15">
        <v>16</v>
      </c>
      <c r="D44" s="93">
        <v>0</v>
      </c>
      <c r="E44" s="15">
        <v>11</v>
      </c>
      <c r="F44" s="15">
        <v>39</v>
      </c>
      <c r="G44" s="15">
        <f>SUM(C44:F44)</f>
        <v>66</v>
      </c>
      <c r="H44" s="15">
        <v>75</v>
      </c>
      <c r="I44" s="15">
        <v>44</v>
      </c>
      <c r="J44" s="15">
        <v>-4</v>
      </c>
      <c r="K44" s="15">
        <v>30</v>
      </c>
      <c r="L44" s="15">
        <f>SUM(H44:K44)</f>
        <v>145</v>
      </c>
      <c r="M44" s="15">
        <v>-2</v>
      </c>
      <c r="N44" s="15">
        <v>-16</v>
      </c>
      <c r="O44" s="15">
        <v>16</v>
      </c>
      <c r="P44" s="15">
        <v>1</v>
      </c>
      <c r="Q44" s="15">
        <f>SUM(M44:P44)</f>
        <v>-1</v>
      </c>
      <c r="R44" s="124">
        <v>-24</v>
      </c>
      <c r="S44" s="124">
        <v>5</v>
      </c>
      <c r="T44" s="124">
        <v>-25</v>
      </c>
      <c r="U44" s="124">
        <v>-19</v>
      </c>
      <c r="V44" s="15">
        <f>SUM(R44:U44)</f>
        <v>-63</v>
      </c>
      <c r="W44" s="124">
        <v>36</v>
      </c>
      <c r="X44" s="124">
        <v>4</v>
      </c>
      <c r="Y44" s="124">
        <v>-2</v>
      </c>
      <c r="Z44" s="124">
        <v>33</v>
      </c>
      <c r="AA44" s="15">
        <f>SUM(W44:Z44)</f>
        <v>71</v>
      </c>
      <c r="AB44" s="15">
        <v>2</v>
      </c>
    </row>
    <row r="45" spans="2:28">
      <c r="B45" s="17" t="s">
        <v>119</v>
      </c>
      <c r="C45" s="47">
        <v>-3</v>
      </c>
      <c r="D45" s="93">
        <v>0</v>
      </c>
      <c r="E45" s="15">
        <v>-2</v>
      </c>
      <c r="F45" s="15">
        <v>-5</v>
      </c>
      <c r="G45" s="15">
        <f>SUM(C45:F45)</f>
        <v>-10</v>
      </c>
      <c r="H45" s="15">
        <v>-13</v>
      </c>
      <c r="I45" s="15">
        <v>-10</v>
      </c>
      <c r="J45" s="15">
        <v>-1</v>
      </c>
      <c r="K45" s="15">
        <v>-8</v>
      </c>
      <c r="L45" s="15">
        <f>SUM(H45:K45)</f>
        <v>-32</v>
      </c>
      <c r="M45" s="46">
        <v>0</v>
      </c>
      <c r="N45" s="46">
        <v>3</v>
      </c>
      <c r="O45" s="46">
        <v>-3</v>
      </c>
      <c r="P45" s="46">
        <v>0</v>
      </c>
      <c r="Q45" s="93">
        <f>SUM(M45:P45)</f>
        <v>0</v>
      </c>
      <c r="R45" s="93">
        <v>5</v>
      </c>
      <c r="S45" s="93">
        <v>-1</v>
      </c>
      <c r="T45" s="93">
        <v>5</v>
      </c>
      <c r="U45" s="93">
        <v>3</v>
      </c>
      <c r="V45" s="93">
        <f>SUM(R45:U45)</f>
        <v>12</v>
      </c>
      <c r="W45" s="93">
        <v>-6</v>
      </c>
      <c r="X45" s="93">
        <v>-1</v>
      </c>
      <c r="Y45" s="93">
        <v>0</v>
      </c>
      <c r="Z45" s="93">
        <v>-6</v>
      </c>
      <c r="AA45" s="93">
        <f>SUM(W45:Z45)</f>
        <v>-13</v>
      </c>
      <c r="AB45" s="93">
        <v>0</v>
      </c>
    </row>
    <row r="46" spans="2:28">
      <c r="B46" s="12" t="s">
        <v>120</v>
      </c>
      <c r="C46" s="54">
        <f t="shared" ref="C46" si="113">SUM(C44:C45)</f>
        <v>13</v>
      </c>
      <c r="D46" s="54">
        <f t="shared" ref="D46" si="114">SUM(D44:D45)</f>
        <v>0</v>
      </c>
      <c r="E46" s="54">
        <f t="shared" ref="E46" si="115">SUM(E44:E45)</f>
        <v>9</v>
      </c>
      <c r="F46" s="54">
        <f t="shared" ref="F46" si="116">SUM(F44:F45)</f>
        <v>34</v>
      </c>
      <c r="G46" s="54">
        <f t="shared" ref="G46" si="117">SUM(G44:G45)</f>
        <v>56</v>
      </c>
      <c r="H46" s="54">
        <f t="shared" ref="H46" si="118">SUM(H44:H45)</f>
        <v>62</v>
      </c>
      <c r="I46" s="54">
        <f t="shared" ref="I46" si="119">SUM(I44:I45)</f>
        <v>34</v>
      </c>
      <c r="J46" s="54">
        <f t="shared" ref="J46:L46" si="120">SUM(J44:J45)</f>
        <v>-5</v>
      </c>
      <c r="K46" s="54">
        <f t="shared" si="120"/>
        <v>22</v>
      </c>
      <c r="L46" s="54">
        <f t="shared" si="120"/>
        <v>113</v>
      </c>
      <c r="M46" s="54">
        <f t="shared" ref="M46:N46" si="121">SUM(M44:M45)</f>
        <v>-2</v>
      </c>
      <c r="N46" s="54">
        <f t="shared" si="121"/>
        <v>-13</v>
      </c>
      <c r="O46" s="54">
        <f t="shared" ref="O46" si="122">SUM(O44:O45)</f>
        <v>13</v>
      </c>
      <c r="P46" s="54">
        <f t="shared" ref="P46:R46" si="123">SUM(P44:P45)</f>
        <v>1</v>
      </c>
      <c r="Q46" s="54">
        <f t="shared" si="123"/>
        <v>-1</v>
      </c>
      <c r="R46" s="54">
        <f t="shared" si="123"/>
        <v>-19</v>
      </c>
      <c r="S46" s="54">
        <f t="shared" ref="S46:T46" si="124">SUM(S44:S45)</f>
        <v>4</v>
      </c>
      <c r="T46" s="54">
        <f t="shared" si="124"/>
        <v>-20</v>
      </c>
      <c r="U46" s="54">
        <f t="shared" ref="U46:W46" si="125">SUM(U44:U45)</f>
        <v>-16</v>
      </c>
      <c r="V46" s="54">
        <f t="shared" si="125"/>
        <v>-51</v>
      </c>
      <c r="W46" s="54">
        <f t="shared" si="125"/>
        <v>30</v>
      </c>
      <c r="X46" s="54">
        <f t="shared" ref="X46:AA46" si="126">SUM(X44:X45)</f>
        <v>3</v>
      </c>
      <c r="Y46" s="54">
        <f t="shared" si="126"/>
        <v>-2</v>
      </c>
      <c r="Z46" s="54">
        <f t="shared" si="126"/>
        <v>27</v>
      </c>
      <c r="AA46" s="54">
        <f t="shared" si="126"/>
        <v>58</v>
      </c>
      <c r="AB46" s="54">
        <f t="shared" ref="AB46" si="127">SUM(AB44:AB45)</f>
        <v>2</v>
      </c>
    </row>
    <row r="47" spans="2:28">
      <c r="B47" s="34" t="s">
        <v>121</v>
      </c>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row>
    <row r="48" spans="2:28">
      <c r="B48" s="17" t="s">
        <v>122</v>
      </c>
      <c r="C48" s="18">
        <v>29</v>
      </c>
      <c r="D48" s="18">
        <v>27</v>
      </c>
      <c r="E48" s="18">
        <v>9</v>
      </c>
      <c r="F48" s="18">
        <v>56</v>
      </c>
      <c r="G48" s="18">
        <f t="shared" ref="G48:G51" si="128">SUM(C48:F48)</f>
        <v>121</v>
      </c>
      <c r="H48" s="18">
        <v>160</v>
      </c>
      <c r="I48" s="18">
        <v>86</v>
      </c>
      <c r="J48" s="18">
        <v>120</v>
      </c>
      <c r="K48" s="18">
        <v>42</v>
      </c>
      <c r="L48" s="18">
        <f t="shared" ref="L48:L51" si="129">SUM(H48:K48)</f>
        <v>408</v>
      </c>
      <c r="M48" s="18">
        <v>-26</v>
      </c>
      <c r="N48" s="18">
        <v>-239</v>
      </c>
      <c r="O48" s="18">
        <v>0</v>
      </c>
      <c r="P48" s="18">
        <v>4</v>
      </c>
      <c r="Q48" s="18">
        <f t="shared" ref="Q48:Q51" si="130">SUM(M48:P48)</f>
        <v>-261</v>
      </c>
      <c r="R48" s="18">
        <v>-20</v>
      </c>
      <c r="S48" s="18">
        <v>-8</v>
      </c>
      <c r="T48" s="18">
        <v>-8</v>
      </c>
      <c r="U48" s="18">
        <v>-30</v>
      </c>
      <c r="V48" s="18">
        <f t="shared" ref="V48:V51" si="131">SUM(R48:U48)</f>
        <v>-66</v>
      </c>
      <c r="W48" s="18">
        <v>18</v>
      </c>
      <c r="X48" s="18">
        <v>5</v>
      </c>
      <c r="Y48" s="18">
        <v>-8</v>
      </c>
      <c r="Z48" s="18">
        <v>-1</v>
      </c>
      <c r="AA48" s="18">
        <f t="shared" ref="AA48:AA51" si="132">SUM(W48:Z48)</f>
        <v>14</v>
      </c>
      <c r="AB48" s="18">
        <v>0</v>
      </c>
    </row>
    <row r="49" spans="2:28">
      <c r="B49" s="17" t="s">
        <v>123</v>
      </c>
      <c r="C49" s="18">
        <v>-242</v>
      </c>
      <c r="D49" s="18">
        <v>107</v>
      </c>
      <c r="E49" s="18">
        <v>-109</v>
      </c>
      <c r="F49" s="18">
        <v>-59</v>
      </c>
      <c r="G49" s="18">
        <f t="shared" si="128"/>
        <v>-303</v>
      </c>
      <c r="H49" s="18">
        <v>-115</v>
      </c>
      <c r="I49" s="18">
        <v>-388</v>
      </c>
      <c r="J49" s="18">
        <v>-321</v>
      </c>
      <c r="K49" s="18">
        <v>-142</v>
      </c>
      <c r="L49" s="18">
        <f t="shared" si="129"/>
        <v>-966</v>
      </c>
      <c r="M49" s="18">
        <v>-126</v>
      </c>
      <c r="N49" s="18">
        <v>-125</v>
      </c>
      <c r="O49" s="18">
        <v>245</v>
      </c>
      <c r="P49" s="18">
        <v>441</v>
      </c>
      <c r="Q49" s="18">
        <f t="shared" si="130"/>
        <v>435</v>
      </c>
      <c r="R49" s="18">
        <v>-431</v>
      </c>
      <c r="S49" s="18">
        <v>137</v>
      </c>
      <c r="T49" s="18">
        <v>120</v>
      </c>
      <c r="U49" s="18">
        <v>-226</v>
      </c>
      <c r="V49" s="18">
        <f t="shared" si="131"/>
        <v>-400</v>
      </c>
      <c r="W49" s="18">
        <v>554</v>
      </c>
      <c r="X49" s="18">
        <v>-151</v>
      </c>
      <c r="Y49" s="18">
        <v>59</v>
      </c>
      <c r="Z49" s="18">
        <v>213</v>
      </c>
      <c r="AA49" s="18">
        <f t="shared" si="132"/>
        <v>675</v>
      </c>
      <c r="AB49" s="18">
        <v>-91</v>
      </c>
    </row>
    <row r="50" spans="2:28" ht="15.75">
      <c r="B50" s="17" t="s">
        <v>124</v>
      </c>
      <c r="C50" s="18">
        <v>1176</v>
      </c>
      <c r="D50" s="18">
        <v>-407</v>
      </c>
      <c r="E50" s="18">
        <v>519</v>
      </c>
      <c r="F50" s="18">
        <v>470</v>
      </c>
      <c r="G50" s="18">
        <f t="shared" si="128"/>
        <v>1758</v>
      </c>
      <c r="H50" s="18">
        <v>405</v>
      </c>
      <c r="I50" s="18">
        <v>1978</v>
      </c>
      <c r="J50" s="18">
        <v>1719</v>
      </c>
      <c r="K50" s="18">
        <v>-328</v>
      </c>
      <c r="L50" s="18">
        <f t="shared" si="129"/>
        <v>3774</v>
      </c>
      <c r="M50" s="18">
        <v>462</v>
      </c>
      <c r="N50" s="18">
        <v>1597</v>
      </c>
      <c r="O50" s="18">
        <v>-576</v>
      </c>
      <c r="P50" s="18">
        <v>-2224</v>
      </c>
      <c r="Q50" s="18">
        <f t="shared" si="130"/>
        <v>-741</v>
      </c>
      <c r="R50" s="18">
        <v>1789</v>
      </c>
      <c r="S50" s="18">
        <v>-395</v>
      </c>
      <c r="T50" s="18">
        <v>-995</v>
      </c>
      <c r="U50" s="18">
        <v>1698</v>
      </c>
      <c r="V50" s="18">
        <f t="shared" si="131"/>
        <v>2097</v>
      </c>
      <c r="W50" s="18">
        <v>-3117</v>
      </c>
      <c r="X50" s="18">
        <v>-655</v>
      </c>
      <c r="Y50" s="18">
        <v>-369</v>
      </c>
      <c r="Z50" s="18">
        <v>-901</v>
      </c>
      <c r="AA50" s="18">
        <f t="shared" si="132"/>
        <v>-5042</v>
      </c>
      <c r="AB50" s="18">
        <v>979</v>
      </c>
    </row>
    <row r="51" spans="2:28" ht="15.75">
      <c r="B51" s="17" t="s">
        <v>125</v>
      </c>
      <c r="C51" s="18">
        <v>-6</v>
      </c>
      <c r="D51" s="18">
        <v>-7</v>
      </c>
      <c r="E51" s="18">
        <v>45</v>
      </c>
      <c r="F51" s="18">
        <v>20</v>
      </c>
      <c r="G51" s="18">
        <f t="shared" si="128"/>
        <v>52</v>
      </c>
      <c r="H51" s="18">
        <v>-11</v>
      </c>
      <c r="I51" s="18">
        <v>61</v>
      </c>
      <c r="J51" s="18">
        <v>41</v>
      </c>
      <c r="K51" s="18">
        <v>21</v>
      </c>
      <c r="L51" s="18">
        <f t="shared" si="129"/>
        <v>112</v>
      </c>
      <c r="M51" s="18">
        <v>31</v>
      </c>
      <c r="N51" s="18">
        <v>23</v>
      </c>
      <c r="O51" s="18">
        <v>-51</v>
      </c>
      <c r="P51" s="18">
        <v>-91</v>
      </c>
      <c r="Q51" s="18">
        <f t="shared" si="130"/>
        <v>-88</v>
      </c>
      <c r="R51" s="18">
        <v>93</v>
      </c>
      <c r="S51" s="18">
        <v>-27</v>
      </c>
      <c r="T51" s="18">
        <v>-23</v>
      </c>
      <c r="U51" s="18">
        <v>53</v>
      </c>
      <c r="V51" s="18">
        <f t="shared" si="131"/>
        <v>96</v>
      </c>
      <c r="W51" s="18">
        <v>-118</v>
      </c>
      <c r="X51" s="18">
        <v>31</v>
      </c>
      <c r="Y51" s="18">
        <v>-11</v>
      </c>
      <c r="Z51" s="18">
        <v>-44</v>
      </c>
      <c r="AA51" s="18">
        <f t="shared" si="132"/>
        <v>-142</v>
      </c>
      <c r="AB51" s="18">
        <v>19</v>
      </c>
    </row>
    <row r="52" spans="2:28">
      <c r="B52" s="12" t="s">
        <v>120</v>
      </c>
      <c r="C52" s="13">
        <f t="shared" ref="C52" si="133">SUM(C48:C51)</f>
        <v>957</v>
      </c>
      <c r="D52" s="13">
        <f t="shared" ref="D52" si="134">SUM(D48:D51)</f>
        <v>-280</v>
      </c>
      <c r="E52" s="13">
        <f t="shared" ref="E52" si="135">SUM(E48:E51)</f>
        <v>464</v>
      </c>
      <c r="F52" s="13">
        <f t="shared" ref="F52" si="136">SUM(F48:F51)</f>
        <v>487</v>
      </c>
      <c r="G52" s="13">
        <f t="shared" ref="G52" si="137">SUM(G48:G51)</f>
        <v>1628</v>
      </c>
      <c r="H52" s="13">
        <f t="shared" ref="H52" si="138">SUM(H48:H51)</f>
        <v>439</v>
      </c>
      <c r="I52" s="13">
        <f t="shared" ref="I52" si="139">SUM(I48:I51)</f>
        <v>1737</v>
      </c>
      <c r="J52" s="13">
        <f t="shared" ref="J52:L52" si="140">SUM(J48:J51)</f>
        <v>1559</v>
      </c>
      <c r="K52" s="13">
        <f t="shared" si="140"/>
        <v>-407</v>
      </c>
      <c r="L52" s="13">
        <f t="shared" si="140"/>
        <v>3328</v>
      </c>
      <c r="M52" s="13">
        <f t="shared" ref="M52:N52" si="141">SUM(M48:M51)</f>
        <v>341</v>
      </c>
      <c r="N52" s="13">
        <f t="shared" si="141"/>
        <v>1256</v>
      </c>
      <c r="O52" s="13">
        <f t="shared" ref="O52" si="142">SUM(O48:O51)</f>
        <v>-382</v>
      </c>
      <c r="P52" s="13">
        <f t="shared" ref="P52:R52" si="143">SUM(P48:P51)</f>
        <v>-1870</v>
      </c>
      <c r="Q52" s="13">
        <f t="shared" si="143"/>
        <v>-655</v>
      </c>
      <c r="R52" s="13">
        <f t="shared" si="143"/>
        <v>1431</v>
      </c>
      <c r="S52" s="13">
        <f t="shared" ref="S52:T52" si="144">SUM(S48:S51)</f>
        <v>-293</v>
      </c>
      <c r="T52" s="13">
        <f t="shared" si="144"/>
        <v>-906</v>
      </c>
      <c r="U52" s="13">
        <f t="shared" ref="U52:W52" si="145">SUM(U48:U51)</f>
        <v>1495</v>
      </c>
      <c r="V52" s="13">
        <f t="shared" si="145"/>
        <v>1727</v>
      </c>
      <c r="W52" s="13">
        <f t="shared" si="145"/>
        <v>-2663</v>
      </c>
      <c r="X52" s="13">
        <f t="shared" ref="X52:AA52" si="146">SUM(X48:X51)</f>
        <v>-770</v>
      </c>
      <c r="Y52" s="13">
        <f t="shared" si="146"/>
        <v>-329</v>
      </c>
      <c r="Z52" s="13">
        <f t="shared" si="146"/>
        <v>-733</v>
      </c>
      <c r="AA52" s="13">
        <f t="shared" si="146"/>
        <v>-4495</v>
      </c>
      <c r="AB52" s="13">
        <f t="shared" ref="AB52" si="147">SUM(AB48:AB51)</f>
        <v>907</v>
      </c>
    </row>
    <row r="53" spans="2:28">
      <c r="B53" s="12" t="s">
        <v>126</v>
      </c>
      <c r="C53" s="13">
        <f t="shared" ref="C53" si="148">C46+C52</f>
        <v>970</v>
      </c>
      <c r="D53" s="13">
        <f t="shared" ref="D53" si="149">D46+D52</f>
        <v>-280</v>
      </c>
      <c r="E53" s="13">
        <f t="shared" ref="E53" si="150">E46+E52</f>
        <v>473</v>
      </c>
      <c r="F53" s="13">
        <f t="shared" ref="F53" si="151">F46+F52</f>
        <v>521</v>
      </c>
      <c r="G53" s="13">
        <f t="shared" ref="G53" si="152">G46+G52</f>
        <v>1684</v>
      </c>
      <c r="H53" s="13">
        <f t="shared" ref="H53" si="153">H46+H52</f>
        <v>501</v>
      </c>
      <c r="I53" s="13">
        <f t="shared" ref="I53" si="154">I46+I52</f>
        <v>1771</v>
      </c>
      <c r="J53" s="13">
        <f t="shared" ref="J53:L53" si="155">J46+J52</f>
        <v>1554</v>
      </c>
      <c r="K53" s="13">
        <f t="shared" si="155"/>
        <v>-385</v>
      </c>
      <c r="L53" s="13">
        <f t="shared" si="155"/>
        <v>3441</v>
      </c>
      <c r="M53" s="13">
        <f t="shared" ref="M53:N53" si="156">M46+M52</f>
        <v>339</v>
      </c>
      <c r="N53" s="13">
        <f t="shared" si="156"/>
        <v>1243</v>
      </c>
      <c r="O53" s="13">
        <f t="shared" ref="O53" si="157">O46+O52</f>
        <v>-369</v>
      </c>
      <c r="P53" s="13">
        <f t="shared" ref="P53:R53" si="158">P46+P52</f>
        <v>-1869</v>
      </c>
      <c r="Q53" s="13">
        <f t="shared" si="158"/>
        <v>-656</v>
      </c>
      <c r="R53" s="13">
        <f t="shared" si="158"/>
        <v>1412</v>
      </c>
      <c r="S53" s="13">
        <f t="shared" ref="S53:T53" si="159">S46+S52</f>
        <v>-289</v>
      </c>
      <c r="T53" s="13">
        <f t="shared" si="159"/>
        <v>-926</v>
      </c>
      <c r="U53" s="13">
        <f t="shared" ref="U53:W53" si="160">U46+U52</f>
        <v>1479</v>
      </c>
      <c r="V53" s="13">
        <f t="shared" si="160"/>
        <v>1676</v>
      </c>
      <c r="W53" s="13">
        <f t="shared" si="160"/>
        <v>-2633</v>
      </c>
      <c r="X53" s="13">
        <f t="shared" ref="X53:AA53" si="161">X46+X52</f>
        <v>-767</v>
      </c>
      <c r="Y53" s="13">
        <f t="shared" si="161"/>
        <v>-331</v>
      </c>
      <c r="Z53" s="13">
        <f t="shared" si="161"/>
        <v>-706</v>
      </c>
      <c r="AA53" s="13">
        <f t="shared" si="161"/>
        <v>-4437</v>
      </c>
      <c r="AB53" s="13">
        <f t="shared" ref="AB53" si="162">AB46+AB52</f>
        <v>909</v>
      </c>
    </row>
    <row r="54" spans="2:28">
      <c r="B54" s="12" t="s">
        <v>127</v>
      </c>
      <c r="C54" s="13">
        <f t="shared" ref="C54" si="163">C53+C41</f>
        <v>2074</v>
      </c>
      <c r="D54" s="13">
        <f t="shared" ref="D54" si="164">D53+D41</f>
        <v>712</v>
      </c>
      <c r="E54" s="13">
        <f t="shared" ref="E54" si="165">E53+E41</f>
        <v>1341</v>
      </c>
      <c r="F54" s="13">
        <f t="shared" ref="F54" si="166">F53+F41</f>
        <v>1273</v>
      </c>
      <c r="G54" s="13">
        <f t="shared" ref="G54" si="167">G53+G41</f>
        <v>5400</v>
      </c>
      <c r="H54" s="13">
        <f t="shared" ref="H54" si="168">H53+H41</f>
        <v>1804</v>
      </c>
      <c r="I54" s="13">
        <f t="shared" ref="I54" si="169">I53+I41</f>
        <v>3287</v>
      </c>
      <c r="J54" s="13">
        <f t="shared" ref="J54:L54" si="170">J53+J41</f>
        <v>2796</v>
      </c>
      <c r="K54" s="13">
        <f t="shared" si="170"/>
        <v>811</v>
      </c>
      <c r="L54" s="13">
        <f t="shared" si="170"/>
        <v>8698</v>
      </c>
      <c r="M54" s="13">
        <f t="shared" ref="M54:N54" si="171">M53+M41</f>
        <v>1701</v>
      </c>
      <c r="N54" s="13">
        <f t="shared" si="171"/>
        <v>8270</v>
      </c>
      <c r="O54" s="13">
        <f t="shared" ref="O54" si="172">O53+O41</f>
        <v>536</v>
      </c>
      <c r="P54" s="13">
        <f t="shared" ref="P54:R54" si="173">P53+P41</f>
        <v>-1089</v>
      </c>
      <c r="Q54" s="13">
        <f t="shared" si="173"/>
        <v>9418</v>
      </c>
      <c r="R54" s="13">
        <f t="shared" si="173"/>
        <v>2392</v>
      </c>
      <c r="S54" s="13">
        <f t="shared" ref="S54:T54" si="174">S53+S41</f>
        <v>699</v>
      </c>
      <c r="T54" s="13">
        <f t="shared" si="174"/>
        <v>-90</v>
      </c>
      <c r="U54" s="13">
        <f t="shared" ref="U54:W54" si="175">U53+U41</f>
        <v>2411</v>
      </c>
      <c r="V54" s="13">
        <f t="shared" si="175"/>
        <v>5412</v>
      </c>
      <c r="W54" s="13">
        <f t="shared" si="175"/>
        <v>-1692</v>
      </c>
      <c r="X54" s="13">
        <f t="shared" ref="X54:AA54" si="176">X53+X41</f>
        <v>156</v>
      </c>
      <c r="Y54" s="13">
        <f t="shared" si="176"/>
        <v>565</v>
      </c>
      <c r="Z54" s="13">
        <f t="shared" si="176"/>
        <v>130</v>
      </c>
      <c r="AA54" s="13">
        <f t="shared" si="176"/>
        <v>-841</v>
      </c>
      <c r="AB54" s="13">
        <f t="shared" ref="AB54" si="177">AB53+AB41</f>
        <v>1887</v>
      </c>
    </row>
    <row r="55" spans="2:28" ht="15.75" customHeight="1">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row>
    <row r="56" spans="2:28">
      <c r="B56" s="68" t="s">
        <v>184</v>
      </c>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row>
    <row r="57" spans="2:28">
      <c r="B57" s="9" t="s">
        <v>48</v>
      </c>
      <c r="C57" s="18">
        <v>2074</v>
      </c>
      <c r="D57" s="18">
        <v>712</v>
      </c>
      <c r="E57" s="18">
        <v>1342</v>
      </c>
      <c r="F57" s="18">
        <v>1273</v>
      </c>
      <c r="G57" s="18">
        <v>5401</v>
      </c>
      <c r="H57" s="18">
        <v>1804</v>
      </c>
      <c r="I57" s="18">
        <v>3287</v>
      </c>
      <c r="J57" s="18">
        <v>2796</v>
      </c>
      <c r="K57" s="18">
        <v>814</v>
      </c>
      <c r="L57" s="18">
        <v>8701</v>
      </c>
      <c r="M57" s="18">
        <v>1701</v>
      </c>
      <c r="N57" s="18">
        <v>8270</v>
      </c>
      <c r="O57" s="18">
        <v>536</v>
      </c>
      <c r="P57" s="18">
        <v>-1089</v>
      </c>
      <c r="Q57" s="18">
        <v>9418</v>
      </c>
      <c r="R57" s="18">
        <v>2392</v>
      </c>
      <c r="S57" s="18">
        <v>699</v>
      </c>
      <c r="T57" s="18">
        <v>-90</v>
      </c>
      <c r="U57" s="18">
        <v>2411</v>
      </c>
      <c r="V57" s="18">
        <f>+SUM(R57:U57)</f>
        <v>5412</v>
      </c>
      <c r="W57" s="18">
        <v>-1692</v>
      </c>
      <c r="X57" s="18">
        <v>156</v>
      </c>
      <c r="Y57" s="18">
        <v>565</v>
      </c>
      <c r="Z57" s="18">
        <v>130</v>
      </c>
      <c r="AA57" s="18">
        <f>+SUM(W57:Z57)</f>
        <v>-841</v>
      </c>
      <c r="AB57" s="18">
        <v>1887</v>
      </c>
    </row>
    <row r="58" spans="2:28" s="8" customFormat="1">
      <c r="B58" s="11" t="s">
        <v>108</v>
      </c>
      <c r="C58" s="11">
        <v>0</v>
      </c>
      <c r="D58" s="118">
        <v>0</v>
      </c>
      <c r="E58" s="11">
        <v>-1</v>
      </c>
      <c r="F58" s="118">
        <v>0</v>
      </c>
      <c r="G58" s="15">
        <v>-1</v>
      </c>
      <c r="H58" s="11">
        <v>0</v>
      </c>
      <c r="I58" s="11">
        <v>0</v>
      </c>
      <c r="J58" s="11">
        <v>0</v>
      </c>
      <c r="K58" s="11">
        <v>-3</v>
      </c>
      <c r="L58" s="15">
        <v>-3</v>
      </c>
      <c r="M58" s="11">
        <v>0</v>
      </c>
      <c r="N58" s="11">
        <v>0</v>
      </c>
      <c r="O58" s="11">
        <v>0</v>
      </c>
      <c r="P58" s="11">
        <v>0</v>
      </c>
      <c r="Q58" s="11">
        <v>0</v>
      </c>
      <c r="R58" s="11">
        <v>0</v>
      </c>
      <c r="S58" s="11">
        <v>0</v>
      </c>
      <c r="T58" s="11">
        <v>0</v>
      </c>
      <c r="U58" s="11">
        <v>0</v>
      </c>
      <c r="V58" s="11">
        <f>+SUM(R58:U58)</f>
        <v>0</v>
      </c>
      <c r="W58" s="74" t="s">
        <v>295</v>
      </c>
      <c r="X58" s="74" t="s">
        <v>295</v>
      </c>
      <c r="Y58" s="74">
        <v>0</v>
      </c>
      <c r="Z58" s="11">
        <v>0</v>
      </c>
      <c r="AA58" s="11">
        <f>+SUM(W58:Z58)</f>
        <v>0</v>
      </c>
      <c r="AB58" s="11">
        <v>0</v>
      </c>
    </row>
    <row r="59" spans="2:28">
      <c r="B59" s="65"/>
      <c r="C59" s="65"/>
      <c r="D59" s="65"/>
      <c r="E59" s="65"/>
      <c r="F59" s="65"/>
      <c r="G59" s="65"/>
      <c r="H59" s="65"/>
      <c r="I59" s="65"/>
      <c r="L59" s="65"/>
      <c r="Q59" s="65"/>
      <c r="V59" s="65"/>
      <c r="AA59" s="65"/>
      <c r="AB59" s="65"/>
    </row>
    <row r="60" spans="2:28">
      <c r="B60" s="75"/>
      <c r="C60" s="92"/>
      <c r="D60" s="92"/>
      <c r="E60" s="92"/>
      <c r="F60" s="92"/>
      <c r="G60" s="92"/>
      <c r="H60" s="92"/>
      <c r="I60" s="92"/>
      <c r="L60" s="92"/>
      <c r="Q60" s="92"/>
      <c r="V60" s="92"/>
      <c r="AA60" s="92"/>
      <c r="AB60" s="92"/>
    </row>
    <row r="61" spans="2:28">
      <c r="B61" s="19" t="s">
        <v>266</v>
      </c>
      <c r="C61" s="7" t="s">
        <v>185</v>
      </c>
      <c r="D61" s="7" t="s">
        <v>194</v>
      </c>
      <c r="E61" s="7" t="s">
        <v>199</v>
      </c>
      <c r="F61" s="7" t="s">
        <v>201</v>
      </c>
      <c r="G61" s="7" t="s">
        <v>202</v>
      </c>
      <c r="H61" s="7" t="s">
        <v>205</v>
      </c>
      <c r="I61" s="7" t="s">
        <v>218</v>
      </c>
      <c r="J61" s="7" t="s">
        <v>221</v>
      </c>
      <c r="K61" s="7" t="s">
        <v>223</v>
      </c>
      <c r="L61" s="7" t="s">
        <v>224</v>
      </c>
      <c r="M61" s="7" t="s">
        <v>226</v>
      </c>
      <c r="N61" s="7" t="s">
        <v>228</v>
      </c>
      <c r="O61" s="7" t="str">
        <f>O3</f>
        <v>Kv3 2023</v>
      </c>
      <c r="P61" s="7" t="str">
        <f>P3</f>
        <v>Kv4 2023</v>
      </c>
      <c r="Q61" s="7" t="s">
        <v>241</v>
      </c>
      <c r="R61" s="7" t="s">
        <v>242</v>
      </c>
      <c r="S61" s="7" t="str">
        <f>+S40</f>
        <v>Kv2 2024</v>
      </c>
      <c r="T61" s="7" t="str">
        <f>+T40</f>
        <v>Kv3 2024</v>
      </c>
      <c r="U61" s="7" t="str">
        <f>+U40</f>
        <v>Kv4 2024</v>
      </c>
      <c r="V61" s="7" t="str">
        <f>+$V$3</f>
        <v>12M 2024</v>
      </c>
      <c r="W61" s="7" t="str">
        <f>+$W$3</f>
        <v>Kv1 2025</v>
      </c>
      <c r="X61" s="7" t="str">
        <f>+X40</f>
        <v>Kv2 2025</v>
      </c>
      <c r="Y61" s="7" t="str">
        <f>+Y40</f>
        <v>Kv3 2025</v>
      </c>
      <c r="Z61" s="7" t="str">
        <f>+Z40</f>
        <v>Kv4 2025</v>
      </c>
      <c r="AA61" s="7" t="str">
        <f>+$AA$3</f>
        <v>12M 2025</v>
      </c>
      <c r="AB61" s="7" t="str">
        <f>+$AB$3</f>
        <v>Kv1 2026</v>
      </c>
    </row>
    <row r="62" spans="2:28">
      <c r="B62" s="53" t="s">
        <v>162</v>
      </c>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2:28" ht="15" customHeight="1">
      <c r="B63" s="17" t="s">
        <v>19</v>
      </c>
      <c r="C63" s="81">
        <f>C70-C69-C65-C64-C67</f>
        <v>1280</v>
      </c>
      <c r="D63" s="81">
        <f>D70-D69-D65-D64-D67</f>
        <v>1334</v>
      </c>
      <c r="E63" s="81">
        <f>E70-E69-E65-E64-E67</f>
        <v>1256</v>
      </c>
      <c r="F63" s="81">
        <f>F70-F69-F65-F64-F67</f>
        <v>1237</v>
      </c>
      <c r="G63" s="81">
        <f>SUM(C63:F63)</f>
        <v>5107</v>
      </c>
      <c r="H63" s="81">
        <f>H70-H69-H65-H64-H67</f>
        <v>1548</v>
      </c>
      <c r="I63" s="81">
        <f>I70-I69-I65-I64-I67</f>
        <v>1652</v>
      </c>
      <c r="J63" s="81">
        <f>J70-J69-J65-J64-J67</f>
        <v>1621</v>
      </c>
      <c r="K63" s="81">
        <f>K70-K69-K65-K64-K67</f>
        <v>1654</v>
      </c>
      <c r="L63" s="81">
        <f>SUM(H63:K63)</f>
        <v>6475</v>
      </c>
      <c r="M63" s="81">
        <f>M70-M69-M65-M64-M67</f>
        <v>1856</v>
      </c>
      <c r="N63" s="81">
        <f>N70-N69-N65-N64-N67</f>
        <v>1891</v>
      </c>
      <c r="O63" s="81">
        <f>O70-O69-O65-O64-O67</f>
        <v>1831</v>
      </c>
      <c r="P63" s="81">
        <f>P70-P69-P65-P64-P67</f>
        <v>1790</v>
      </c>
      <c r="Q63" s="81">
        <f>SUM(M63:P63)</f>
        <v>7368</v>
      </c>
      <c r="R63" s="81">
        <f>R70-R69-R65-R64-R67</f>
        <v>1834</v>
      </c>
      <c r="S63" s="81">
        <f>S70-S69-S65-S64-S67</f>
        <v>1950</v>
      </c>
      <c r="T63" s="81">
        <f>T70-T69-T65-T64-T67</f>
        <v>1821</v>
      </c>
      <c r="U63" s="81">
        <f>U70-U69-U65-U64-U67</f>
        <v>1944</v>
      </c>
      <c r="V63" s="81">
        <f>SUM(R63:U63)</f>
        <v>7549</v>
      </c>
      <c r="W63" s="81">
        <f>W70-W69-W65-W64-W67</f>
        <v>1982</v>
      </c>
      <c r="X63" s="81">
        <f>X70-X69-X65-X64-X67</f>
        <v>1939</v>
      </c>
      <c r="Y63" s="81">
        <f>Y70-Y69-Y65-Y64-Y67</f>
        <v>1966</v>
      </c>
      <c r="Z63" s="81">
        <f>Z70-Z69-Z65-Z64-Z67</f>
        <v>1921</v>
      </c>
      <c r="AA63" s="81">
        <f>SUM(W63:Z63)</f>
        <v>7808</v>
      </c>
      <c r="AB63" s="81">
        <v>1944</v>
      </c>
    </row>
    <row r="64" spans="2:28">
      <c r="B64" s="17" t="s">
        <v>180</v>
      </c>
      <c r="C64" s="81">
        <v>-243</v>
      </c>
      <c r="D64" s="81">
        <v>-241</v>
      </c>
      <c r="E64" s="81">
        <v>-243</v>
      </c>
      <c r="F64" s="81">
        <v>-246</v>
      </c>
      <c r="G64" s="81">
        <f t="shared" ref="G64:G69" si="178">SUM(C64:F64)</f>
        <v>-973</v>
      </c>
      <c r="H64" s="81">
        <v>-255</v>
      </c>
      <c r="I64" s="81">
        <v>-264</v>
      </c>
      <c r="J64" s="81">
        <v>-272</v>
      </c>
      <c r="K64" s="81">
        <v>-302</v>
      </c>
      <c r="L64" s="103">
        <f t="shared" ref="L64:L69" si="179">SUM(H64:K64)</f>
        <v>-1093</v>
      </c>
      <c r="M64" s="81">
        <v>-315</v>
      </c>
      <c r="N64" s="81">
        <v>-317</v>
      </c>
      <c r="O64" s="81">
        <v>-328</v>
      </c>
      <c r="P64" s="81">
        <v>-348</v>
      </c>
      <c r="Q64" s="103">
        <f t="shared" ref="Q64:Q69" si="180">SUM(M64:P64)</f>
        <v>-1308</v>
      </c>
      <c r="R64" s="81">
        <v>-322</v>
      </c>
      <c r="S64" s="81">
        <v>-327</v>
      </c>
      <c r="T64" s="81">
        <v>-332</v>
      </c>
      <c r="U64" s="81">
        <v>-346</v>
      </c>
      <c r="V64" s="103">
        <f t="shared" ref="V64:V69" si="181">SUM(R64:U64)</f>
        <v>-1327</v>
      </c>
      <c r="W64" s="81">
        <v>-345</v>
      </c>
      <c r="X64" s="81">
        <v>-330</v>
      </c>
      <c r="Y64" s="81">
        <v>-345</v>
      </c>
      <c r="Z64" s="81">
        <v>-353</v>
      </c>
      <c r="AA64" s="103">
        <f t="shared" ref="AA64" si="182">SUM(W64:Z64)</f>
        <v>-1373</v>
      </c>
      <c r="AB64" s="103">
        <v>-337</v>
      </c>
    </row>
    <row r="65" spans="1:28">
      <c r="B65" s="17" t="s">
        <v>181</v>
      </c>
      <c r="C65" s="81">
        <v>-9</v>
      </c>
      <c r="D65" s="81">
        <v>-10</v>
      </c>
      <c r="E65" s="81">
        <v>-8</v>
      </c>
      <c r="F65" s="81">
        <v>-14</v>
      </c>
      <c r="G65" s="81">
        <f t="shared" si="178"/>
        <v>-41</v>
      </c>
      <c r="H65" s="81">
        <v>-11</v>
      </c>
      <c r="I65" s="81">
        <v>-12</v>
      </c>
      <c r="J65" s="81">
        <v>-13</v>
      </c>
      <c r="K65" s="81">
        <v>-12</v>
      </c>
      <c r="L65" s="81">
        <f>SUM(H65:K65)</f>
        <v>-48</v>
      </c>
      <c r="M65" s="81">
        <v>-12</v>
      </c>
      <c r="N65" s="81">
        <v>-12</v>
      </c>
      <c r="O65" s="81">
        <v>-16</v>
      </c>
      <c r="P65" s="81">
        <v>-18</v>
      </c>
      <c r="Q65" s="81">
        <f>SUM(M65:P65)</f>
        <v>-58</v>
      </c>
      <c r="R65" s="81">
        <v>-22</v>
      </c>
      <c r="S65" s="81">
        <v>-24</v>
      </c>
      <c r="T65" s="81">
        <v>-25</v>
      </c>
      <c r="U65" s="81">
        <v>-11</v>
      </c>
      <c r="V65" s="81">
        <f>SUM(R65:U65)</f>
        <v>-82</v>
      </c>
      <c r="W65" s="81">
        <v>-21</v>
      </c>
      <c r="X65" s="81">
        <v>-22</v>
      </c>
      <c r="Y65" s="81">
        <v>-80</v>
      </c>
      <c r="Z65" s="81">
        <v>-26</v>
      </c>
      <c r="AA65" s="81">
        <f>SUM(W65:Z65)</f>
        <v>-149</v>
      </c>
      <c r="AB65" s="81">
        <v>-21</v>
      </c>
    </row>
    <row r="66" spans="1:28">
      <c r="B66" s="17" t="s">
        <v>163</v>
      </c>
      <c r="C66" s="81">
        <f>SUM(C63+C64+C65)</f>
        <v>1028</v>
      </c>
      <c r="D66" s="106">
        <f>SUM(D63+D64+D65)+1</f>
        <v>1084</v>
      </c>
      <c r="E66" s="81">
        <f>SUM(E63+E64+E65)</f>
        <v>1005</v>
      </c>
      <c r="F66" s="81">
        <f>SUM(F63+F64+F65)</f>
        <v>977</v>
      </c>
      <c r="G66" s="81">
        <f t="shared" si="178"/>
        <v>4094</v>
      </c>
      <c r="H66" s="81">
        <f t="shared" ref="H66:L66" si="183">SUM(H63+H64+H65)</f>
        <v>1282</v>
      </c>
      <c r="I66" s="81">
        <f t="shared" si="183"/>
        <v>1376</v>
      </c>
      <c r="J66" s="81">
        <f t="shared" si="183"/>
        <v>1336</v>
      </c>
      <c r="K66" s="81">
        <f t="shared" si="183"/>
        <v>1340</v>
      </c>
      <c r="L66" s="81">
        <f t="shared" si="183"/>
        <v>5334</v>
      </c>
      <c r="M66" s="81">
        <f>SUM(M63+M64+M65-1)</f>
        <v>1528</v>
      </c>
      <c r="N66" s="81">
        <f>SUM(N63+N64+N65+1)</f>
        <v>1563</v>
      </c>
      <c r="O66" s="81">
        <f>SUM(O63+O64+O65)</f>
        <v>1487</v>
      </c>
      <c r="P66" s="81">
        <f>SUM(P63+P64+P65)</f>
        <v>1424</v>
      </c>
      <c r="Q66" s="81">
        <f t="shared" ref="Q66" si="184">SUM(Q63+Q64+Q65)</f>
        <v>6002</v>
      </c>
      <c r="R66" s="81">
        <f t="shared" ref="R66:W66" si="185">SUM(R63+R64+R65)</f>
        <v>1490</v>
      </c>
      <c r="S66" s="81">
        <f t="shared" si="185"/>
        <v>1599</v>
      </c>
      <c r="T66" s="81">
        <f t="shared" si="185"/>
        <v>1464</v>
      </c>
      <c r="U66" s="81">
        <f t="shared" si="185"/>
        <v>1587</v>
      </c>
      <c r="V66" s="81">
        <f t="shared" si="185"/>
        <v>6140</v>
      </c>
      <c r="W66" s="81">
        <f t="shared" si="185"/>
        <v>1616</v>
      </c>
      <c r="X66" s="81">
        <f t="shared" ref="X66:AB66" si="186">SUM(X63+X64+X65)</f>
        <v>1587</v>
      </c>
      <c r="Y66" s="81">
        <f t="shared" si="186"/>
        <v>1541</v>
      </c>
      <c r="Z66" s="81">
        <f t="shared" si="186"/>
        <v>1542</v>
      </c>
      <c r="AA66" s="81">
        <f t="shared" si="186"/>
        <v>6286</v>
      </c>
      <c r="AB66" s="81">
        <f t="shared" si="186"/>
        <v>1586</v>
      </c>
    </row>
    <row r="67" spans="1:28">
      <c r="B67" s="111" t="s">
        <v>230</v>
      </c>
      <c r="C67" s="81">
        <v>-46</v>
      </c>
      <c r="D67" s="81">
        <v>-47</v>
      </c>
      <c r="E67" s="81">
        <v>-48</v>
      </c>
      <c r="F67" s="81">
        <v>-49</v>
      </c>
      <c r="G67" s="81">
        <f t="shared" si="178"/>
        <v>-190</v>
      </c>
      <c r="H67" s="81">
        <v>-52</v>
      </c>
      <c r="I67" s="81">
        <v>-57</v>
      </c>
      <c r="J67" s="81">
        <v>-58</v>
      </c>
      <c r="K67" s="81">
        <v>-101</v>
      </c>
      <c r="L67" s="81">
        <f>SUM(H67:K67)</f>
        <v>-268</v>
      </c>
      <c r="M67" s="81">
        <v>-118</v>
      </c>
      <c r="N67" s="81">
        <v>-120</v>
      </c>
      <c r="O67" s="81">
        <v>-126</v>
      </c>
      <c r="P67" s="81">
        <v>-120</v>
      </c>
      <c r="Q67" s="81">
        <f>SUM(M67:P67)</f>
        <v>-484</v>
      </c>
      <c r="R67" s="81">
        <v>-111</v>
      </c>
      <c r="S67" s="81">
        <v>-116</v>
      </c>
      <c r="T67" s="81">
        <v>-144</v>
      </c>
      <c r="U67" s="81">
        <v>-167</v>
      </c>
      <c r="V67" s="81">
        <f>SUM(R67:U67)</f>
        <v>-538</v>
      </c>
      <c r="W67" s="81">
        <v>-154</v>
      </c>
      <c r="X67" s="81">
        <v>-145</v>
      </c>
      <c r="Y67" s="81">
        <v>-138</v>
      </c>
      <c r="Z67" s="81">
        <v>-143</v>
      </c>
      <c r="AA67" s="81">
        <f>SUM(W67:Z67)</f>
        <v>-580</v>
      </c>
      <c r="AB67" s="81">
        <v>-138</v>
      </c>
    </row>
    <row r="68" spans="1:28">
      <c r="B68" s="17" t="s">
        <v>15</v>
      </c>
      <c r="C68" s="81">
        <f>SUM(C66:C67)</f>
        <v>982</v>
      </c>
      <c r="D68" s="106">
        <f>SUM(D66:D67)-1</f>
        <v>1036</v>
      </c>
      <c r="E68" s="81">
        <f>SUM(E66:E67)</f>
        <v>957</v>
      </c>
      <c r="F68" s="81">
        <f>SUM(F66:F67)</f>
        <v>928</v>
      </c>
      <c r="G68" s="81">
        <f>SUM(C68:F68)</f>
        <v>3903</v>
      </c>
      <c r="H68" s="81">
        <f>SUM(H66:H67)</f>
        <v>1230</v>
      </c>
      <c r="I68" s="81">
        <f>SUM(I66:I67)</f>
        <v>1319</v>
      </c>
      <c r="J68" s="81">
        <f>SUM(J66:J67)</f>
        <v>1278</v>
      </c>
      <c r="K68" s="81">
        <f>SUM(K66:K67)</f>
        <v>1239</v>
      </c>
      <c r="L68" s="81">
        <f>SUM(H68:K68)</f>
        <v>5066</v>
      </c>
      <c r="M68" s="81">
        <f>SUM(M66:M67)+1</f>
        <v>1411</v>
      </c>
      <c r="N68" s="81">
        <f>SUM(N66:N67)-1</f>
        <v>1442</v>
      </c>
      <c r="O68" s="81">
        <f>SUM(O66:O67)</f>
        <v>1361</v>
      </c>
      <c r="P68" s="81">
        <f>SUM(P66:P67)</f>
        <v>1304</v>
      </c>
      <c r="Q68" s="81">
        <f>SUM(M68:P68)</f>
        <v>5518</v>
      </c>
      <c r="R68" s="81">
        <f>SUM(R66:R67)</f>
        <v>1379</v>
      </c>
      <c r="S68" s="81">
        <f>SUM(S66:S67)</f>
        <v>1483</v>
      </c>
      <c r="T68" s="81">
        <f>SUM(T66:T67)</f>
        <v>1320</v>
      </c>
      <c r="U68" s="81">
        <f>SUM(U66:U67)</f>
        <v>1420</v>
      </c>
      <c r="V68" s="81">
        <f>SUM(R68:U68)</f>
        <v>5602</v>
      </c>
      <c r="W68" s="81">
        <v>1462</v>
      </c>
      <c r="X68" s="81">
        <f>+X66+X67</f>
        <v>1442</v>
      </c>
      <c r="Y68" s="81">
        <f>+Y66+Y67</f>
        <v>1403</v>
      </c>
      <c r="Z68" s="81">
        <f>SUM(Z66:Z67)</f>
        <v>1399</v>
      </c>
      <c r="AA68" s="81">
        <f>SUM(W68:Z68)</f>
        <v>5706</v>
      </c>
      <c r="AB68" s="81">
        <f>+AB67+AB66</f>
        <v>1448</v>
      </c>
    </row>
    <row r="69" spans="1:28">
      <c r="B69" s="17" t="s">
        <v>44</v>
      </c>
      <c r="C69" s="20">
        <f t="shared" ref="C69:F70" si="187">C14</f>
        <v>105</v>
      </c>
      <c r="D69" s="98">
        <f t="shared" si="187"/>
        <v>-40</v>
      </c>
      <c r="E69" s="20">
        <f t="shared" si="187"/>
        <v>-20</v>
      </c>
      <c r="F69" s="20">
        <f t="shared" si="187"/>
        <v>-128</v>
      </c>
      <c r="G69" s="20">
        <f t="shared" si="178"/>
        <v>-83</v>
      </c>
      <c r="H69" s="20">
        <f t="shared" ref="H69:K70" si="188">H14</f>
        <v>-25</v>
      </c>
      <c r="I69" s="98">
        <f t="shared" si="188"/>
        <v>-33</v>
      </c>
      <c r="J69" s="20">
        <f t="shared" si="188"/>
        <v>-68</v>
      </c>
      <c r="K69" s="20">
        <f t="shared" si="188"/>
        <v>-115</v>
      </c>
      <c r="L69" s="20">
        <f t="shared" si="179"/>
        <v>-241</v>
      </c>
      <c r="M69" s="20">
        <f t="shared" ref="M69:P70" si="189">M14</f>
        <v>-49</v>
      </c>
      <c r="N69" s="98">
        <f t="shared" si="189"/>
        <v>-194</v>
      </c>
      <c r="O69" s="98">
        <f t="shared" si="189"/>
        <v>-111</v>
      </c>
      <c r="P69" s="98">
        <f t="shared" si="189"/>
        <v>-260</v>
      </c>
      <c r="Q69" s="20">
        <f t="shared" si="180"/>
        <v>-614</v>
      </c>
      <c r="R69" s="20">
        <f t="shared" ref="R69:U70" si="190">R14</f>
        <v>-55</v>
      </c>
      <c r="S69" s="20">
        <f t="shared" si="190"/>
        <v>-111</v>
      </c>
      <c r="T69" s="20">
        <f t="shared" si="190"/>
        <v>-73</v>
      </c>
      <c r="U69" s="20">
        <f t="shared" si="190"/>
        <v>-76</v>
      </c>
      <c r="V69" s="20">
        <f t="shared" si="181"/>
        <v>-315</v>
      </c>
      <c r="W69" s="20">
        <f>W14</f>
        <v>-61</v>
      </c>
      <c r="X69" s="20">
        <f>X14</f>
        <v>-80</v>
      </c>
      <c r="Y69" s="20">
        <f>Y14</f>
        <v>-72</v>
      </c>
      <c r="Z69" s="20">
        <f t="shared" ref="Z69" si="191">Z14</f>
        <v>-176</v>
      </c>
      <c r="AA69" s="20">
        <f t="shared" ref="AA69" si="192">SUM(W69:Z69)</f>
        <v>-389</v>
      </c>
      <c r="AB69" s="20">
        <v>-42</v>
      </c>
    </row>
    <row r="70" spans="1:28">
      <c r="B70" s="21" t="s">
        <v>265</v>
      </c>
      <c r="C70" s="22">
        <f t="shared" si="187"/>
        <v>1087</v>
      </c>
      <c r="D70" s="22">
        <f t="shared" si="187"/>
        <v>996</v>
      </c>
      <c r="E70" s="22">
        <f t="shared" si="187"/>
        <v>937</v>
      </c>
      <c r="F70" s="22">
        <f t="shared" si="187"/>
        <v>800</v>
      </c>
      <c r="G70" s="22">
        <f>G15</f>
        <v>3820</v>
      </c>
      <c r="H70" s="22">
        <f t="shared" si="188"/>
        <v>1205</v>
      </c>
      <c r="I70" s="22">
        <f t="shared" si="188"/>
        <v>1286</v>
      </c>
      <c r="J70" s="22">
        <f t="shared" si="188"/>
        <v>1210</v>
      </c>
      <c r="K70" s="22">
        <f t="shared" si="188"/>
        <v>1124</v>
      </c>
      <c r="L70" s="22">
        <f>L15</f>
        <v>4825</v>
      </c>
      <c r="M70" s="22">
        <f t="shared" si="189"/>
        <v>1362</v>
      </c>
      <c r="N70" s="22">
        <f t="shared" si="189"/>
        <v>1248</v>
      </c>
      <c r="O70" s="22">
        <f t="shared" si="189"/>
        <v>1250</v>
      </c>
      <c r="P70" s="22">
        <f t="shared" si="189"/>
        <v>1044</v>
      </c>
      <c r="Q70" s="22">
        <f>Q15</f>
        <v>4904</v>
      </c>
      <c r="R70" s="22">
        <f t="shared" si="190"/>
        <v>1324</v>
      </c>
      <c r="S70" s="22">
        <f t="shared" si="190"/>
        <v>1372</v>
      </c>
      <c r="T70" s="22">
        <f t="shared" si="190"/>
        <v>1247</v>
      </c>
      <c r="U70" s="22">
        <f t="shared" si="190"/>
        <v>1344</v>
      </c>
      <c r="V70" s="22">
        <f>V15</f>
        <v>5287</v>
      </c>
      <c r="W70" s="22">
        <f t="shared" ref="W70:X70" si="193">W15</f>
        <v>1401</v>
      </c>
      <c r="X70" s="22">
        <f t="shared" si="193"/>
        <v>1362</v>
      </c>
      <c r="Y70" s="22">
        <f t="shared" ref="Y70:Z70" si="194">Y15</f>
        <v>1331</v>
      </c>
      <c r="Z70" s="22">
        <f t="shared" si="194"/>
        <v>1223</v>
      </c>
      <c r="AA70" s="22">
        <f>AA15</f>
        <v>5317</v>
      </c>
      <c r="AB70" s="22">
        <f>AB15</f>
        <v>1406</v>
      </c>
    </row>
    <row r="71" spans="1:28">
      <c r="B71" s="11" t="s">
        <v>245</v>
      </c>
      <c r="C71" s="23">
        <f t="shared" ref="C71:N71" si="195">C63/C4</f>
        <v>0.2198557196839574</v>
      </c>
      <c r="D71" s="107">
        <f t="shared" si="195"/>
        <v>0.21944398749794375</v>
      </c>
      <c r="E71" s="23">
        <f t="shared" si="195"/>
        <v>0.21389645776566757</v>
      </c>
      <c r="F71" s="23">
        <f t="shared" si="195"/>
        <v>0.20561835106382978</v>
      </c>
      <c r="G71" s="23">
        <f t="shared" si="195"/>
        <v>0.21467905334398252</v>
      </c>
      <c r="H71" s="23">
        <f t="shared" si="195"/>
        <v>0.21818181818181817</v>
      </c>
      <c r="I71" s="107">
        <f t="shared" si="195"/>
        <v>0.2247313290708747</v>
      </c>
      <c r="J71" s="23">
        <f t="shared" si="195"/>
        <v>0.21510084925690021</v>
      </c>
      <c r="K71" s="23">
        <f t="shared" si="195"/>
        <v>0.20387033156662146</v>
      </c>
      <c r="L71" s="23">
        <f t="shared" si="195"/>
        <v>0.21515201860774216</v>
      </c>
      <c r="M71" s="23">
        <f t="shared" si="195"/>
        <v>0.21306394214211916</v>
      </c>
      <c r="N71" s="99">
        <f t="shared" si="195"/>
        <v>0.21745630174793007</v>
      </c>
      <c r="O71" s="99">
        <f>(O63+1)/O4</f>
        <v>0.21659966895247104</v>
      </c>
      <c r="P71" s="99">
        <f>(P63+1)/P4</f>
        <v>0.21268257926612041</v>
      </c>
      <c r="Q71" s="23">
        <f t="shared" ref="Q71:U71" si="196">Q63/Q4</f>
        <v>0.21489820918159017</v>
      </c>
      <c r="R71" s="23">
        <f>R63/R4</f>
        <v>0.22273500121447656</v>
      </c>
      <c r="S71" s="23">
        <f t="shared" si="196"/>
        <v>0.22385489610836873</v>
      </c>
      <c r="T71" s="23">
        <f t="shared" si="196"/>
        <v>0.21570717839374556</v>
      </c>
      <c r="U71" s="23">
        <f t="shared" si="196"/>
        <v>0.22133667311852442</v>
      </c>
      <c r="V71" s="23">
        <f>V63/V4</f>
        <v>0.22092478782557801</v>
      </c>
      <c r="W71" s="23">
        <f t="shared" ref="W71" si="197">W63/W4</f>
        <v>0.22355064290548163</v>
      </c>
      <c r="X71" s="23">
        <f>X63/X4</f>
        <v>0.22675710443223016</v>
      </c>
      <c r="Y71" s="23">
        <f>Y63/Y4</f>
        <v>0.23042662916080636</v>
      </c>
      <c r="Z71" s="23">
        <f t="shared" ref="Z71" si="198">Z63/Z4</f>
        <v>0.22923627684964201</v>
      </c>
      <c r="AA71" s="23">
        <f>AA63/AA4</f>
        <v>0.22744618252789187</v>
      </c>
      <c r="AB71" s="23">
        <f>AB63/AB4</f>
        <v>0.22588891471066697</v>
      </c>
    </row>
    <row r="72" spans="1:28">
      <c r="B72" s="11" t="s">
        <v>246</v>
      </c>
      <c r="C72" s="23">
        <f t="shared" ref="C72:V72" si="199">C66/C4</f>
        <v>0.17657162487117828</v>
      </c>
      <c r="D72" s="23">
        <f t="shared" si="199"/>
        <v>0.17831880243461096</v>
      </c>
      <c r="E72" s="23">
        <f t="shared" si="199"/>
        <v>0.17115122615803816</v>
      </c>
      <c r="F72" s="23">
        <f t="shared" si="199"/>
        <v>0.1624002659574468</v>
      </c>
      <c r="G72" s="23">
        <f t="shared" si="199"/>
        <v>0.17209634705115809</v>
      </c>
      <c r="H72" s="107">
        <f t="shared" si="199"/>
        <v>0.18069062720225512</v>
      </c>
      <c r="I72" s="23">
        <f t="shared" si="199"/>
        <v>0.18718541695007482</v>
      </c>
      <c r="J72" s="23">
        <f t="shared" si="199"/>
        <v>0.17728237791932058</v>
      </c>
      <c r="K72" s="23">
        <f t="shared" si="199"/>
        <v>0.16516701590040675</v>
      </c>
      <c r="L72" s="23">
        <f t="shared" si="199"/>
        <v>0.17723874397740488</v>
      </c>
      <c r="M72" s="23">
        <f t="shared" si="199"/>
        <v>0.17541040064286534</v>
      </c>
      <c r="N72" s="99">
        <f t="shared" si="199"/>
        <v>0.1797378104875805</v>
      </c>
      <c r="O72" s="99">
        <f t="shared" si="199"/>
        <v>0.17580988413336487</v>
      </c>
      <c r="P72" s="108">
        <f t="shared" si="199"/>
        <v>0.16910105688160551</v>
      </c>
      <c r="Q72" s="23">
        <f t="shared" si="199"/>
        <v>0.17505687452604562</v>
      </c>
      <c r="R72" s="23">
        <f t="shared" si="199"/>
        <v>0.18095700752975469</v>
      </c>
      <c r="S72" s="23">
        <f t="shared" si="199"/>
        <v>0.18356101480886236</v>
      </c>
      <c r="T72" s="23">
        <f t="shared" si="199"/>
        <v>0.17341862117981521</v>
      </c>
      <c r="U72" s="23">
        <f t="shared" si="199"/>
        <v>0.18068996925879541</v>
      </c>
      <c r="V72" s="23">
        <f t="shared" si="199"/>
        <v>0.17968978636230612</v>
      </c>
      <c r="W72" s="23">
        <f t="shared" ref="W72:X72" si="200">W66/W4</f>
        <v>0.18226934355966615</v>
      </c>
      <c r="X72" s="23">
        <f t="shared" si="200"/>
        <v>0.18559232838264531</v>
      </c>
      <c r="Y72" s="23">
        <f t="shared" ref="Y72:AA72" si="201">Y66/Y4</f>
        <v>0.18061415846225973</v>
      </c>
      <c r="Z72" s="23">
        <f t="shared" si="201"/>
        <v>0.18400954653937948</v>
      </c>
      <c r="AA72" s="23">
        <f t="shared" si="201"/>
        <v>0.18311048967345392</v>
      </c>
      <c r="AB72" s="23">
        <f t="shared" ref="AB72" si="202">AB66/AB4</f>
        <v>0.18429003021148035</v>
      </c>
    </row>
    <row r="73" spans="1:28">
      <c r="B73" s="11" t="s">
        <v>247</v>
      </c>
      <c r="C73" s="23">
        <f t="shared" ref="C73:V73" si="203">C68/C4</f>
        <v>0.16867055994503607</v>
      </c>
      <c r="D73" s="23">
        <f t="shared" si="203"/>
        <v>0.17042276690245106</v>
      </c>
      <c r="E73" s="23">
        <f t="shared" si="203"/>
        <v>0.16297683923705722</v>
      </c>
      <c r="F73" s="23">
        <f t="shared" si="203"/>
        <v>0.15425531914893617</v>
      </c>
      <c r="G73" s="23">
        <f t="shared" si="203"/>
        <v>0.16406742612131658</v>
      </c>
      <c r="H73" s="23">
        <f t="shared" si="203"/>
        <v>0.17336152219873149</v>
      </c>
      <c r="I73" s="23">
        <f t="shared" si="203"/>
        <v>0.17943136988164876</v>
      </c>
      <c r="J73" s="23">
        <f t="shared" si="203"/>
        <v>0.16958598726114649</v>
      </c>
      <c r="K73" s="23">
        <f t="shared" si="203"/>
        <v>0.15271786022433131</v>
      </c>
      <c r="L73" s="23">
        <f t="shared" si="203"/>
        <v>0.16833361023425819</v>
      </c>
      <c r="M73" s="23">
        <f t="shared" si="203"/>
        <v>0.16197910687636322</v>
      </c>
      <c r="N73" s="99">
        <f t="shared" si="203"/>
        <v>0.16582336706531739</v>
      </c>
      <c r="O73" s="99">
        <f t="shared" si="203"/>
        <v>0.16091274532986521</v>
      </c>
      <c r="P73" s="99">
        <f t="shared" si="203"/>
        <v>0.15485096781854887</v>
      </c>
      <c r="Q73" s="23">
        <f t="shared" si="203"/>
        <v>0.16094032549728751</v>
      </c>
      <c r="R73" s="23">
        <f t="shared" si="203"/>
        <v>0.16747631770706825</v>
      </c>
      <c r="S73" s="23">
        <f t="shared" si="203"/>
        <v>0.17024451842497992</v>
      </c>
      <c r="T73" s="23">
        <f t="shared" si="203"/>
        <v>0.15636105188343993</v>
      </c>
      <c r="U73" s="23">
        <f t="shared" si="203"/>
        <v>0.1616759649322555</v>
      </c>
      <c r="V73" s="23">
        <f t="shared" si="203"/>
        <v>0.16394498097746563</v>
      </c>
      <c r="W73" s="23">
        <f t="shared" ref="W73" si="204">W68/W4</f>
        <v>0.16489961651251975</v>
      </c>
      <c r="X73" s="23">
        <f>X68/X4</f>
        <v>0.16863524733949245</v>
      </c>
      <c r="Y73" s="23">
        <f>Y68/Y4</f>
        <v>0.16443975621190812</v>
      </c>
      <c r="Z73" s="23">
        <f t="shared" ref="Z73:AA73" si="205">Z68/Z4</f>
        <v>0.16694510739856802</v>
      </c>
      <c r="AA73" s="23">
        <f t="shared" si="205"/>
        <v>0.1662151533688718</v>
      </c>
      <c r="AB73" s="23">
        <f t="shared" ref="AB73" si="206">AB68/AB4</f>
        <v>0.16825470601905648</v>
      </c>
    </row>
    <row r="74" spans="1:28">
      <c r="B74" s="11"/>
      <c r="C74" s="23"/>
      <c r="D74" s="23"/>
      <c r="E74" s="23"/>
      <c r="F74" s="23"/>
      <c r="G74" s="23"/>
      <c r="H74" s="23"/>
      <c r="I74" s="23"/>
      <c r="J74" s="23"/>
      <c r="K74" s="23"/>
      <c r="L74" s="23"/>
      <c r="M74" s="23"/>
      <c r="N74" s="99"/>
      <c r="O74" s="99"/>
      <c r="P74" s="99"/>
      <c r="Q74" s="23"/>
      <c r="R74" s="23"/>
      <c r="S74" s="23"/>
      <c r="T74" s="23"/>
      <c r="U74" s="23"/>
      <c r="V74" s="23"/>
      <c r="W74" s="23"/>
      <c r="X74" s="23"/>
      <c r="Y74" s="23"/>
      <c r="Z74" s="23"/>
      <c r="AA74" s="23"/>
      <c r="AB74" s="23"/>
    </row>
    <row r="75" spans="1:28">
      <c r="B75" s="82"/>
      <c r="C75" s="23"/>
      <c r="D75" s="23"/>
      <c r="E75" s="23"/>
      <c r="F75" s="23"/>
      <c r="G75" s="23"/>
      <c r="H75" s="23"/>
      <c r="I75" s="82"/>
      <c r="L75" s="23"/>
      <c r="Q75" s="23"/>
      <c r="V75" s="23"/>
      <c r="AA75" s="23"/>
      <c r="AB75" s="23"/>
    </row>
    <row r="76" spans="1:28">
      <c r="B76" s="19" t="s">
        <v>217</v>
      </c>
      <c r="C76" s="7" t="s">
        <v>185</v>
      </c>
      <c r="D76" s="7" t="s">
        <v>194</v>
      </c>
      <c r="E76" s="7" t="s">
        <v>199</v>
      </c>
      <c r="F76" s="7" t="s">
        <v>201</v>
      </c>
      <c r="G76" s="7" t="s">
        <v>202</v>
      </c>
      <c r="H76" s="7" t="s">
        <v>205</v>
      </c>
      <c r="I76" s="7" t="s">
        <v>218</v>
      </c>
      <c r="J76" s="7" t="s">
        <v>221</v>
      </c>
      <c r="K76" s="7" t="s">
        <v>223</v>
      </c>
      <c r="L76" s="7" t="s">
        <v>224</v>
      </c>
      <c r="M76" s="7" t="s">
        <v>226</v>
      </c>
      <c r="N76" s="7" t="s">
        <v>228</v>
      </c>
      <c r="O76" s="7" t="str">
        <f>O3</f>
        <v>Kv3 2023</v>
      </c>
      <c r="P76" s="7" t="str">
        <f>P3</f>
        <v>Kv4 2023</v>
      </c>
      <c r="Q76" s="7" t="s">
        <v>241</v>
      </c>
      <c r="R76" s="7" t="s">
        <v>242</v>
      </c>
      <c r="S76" s="7" t="str">
        <f>+S61</f>
        <v>Kv2 2024</v>
      </c>
      <c r="T76" s="7" t="str">
        <f>+T61</f>
        <v>Kv3 2024</v>
      </c>
      <c r="U76" s="7" t="str">
        <f>+U61</f>
        <v>Kv4 2024</v>
      </c>
      <c r="V76" s="7" t="str">
        <f>+$V$3</f>
        <v>12M 2024</v>
      </c>
      <c r="W76" s="7" t="str">
        <f>+$W$3</f>
        <v>Kv1 2025</v>
      </c>
      <c r="X76" s="7" t="str">
        <f>+X61</f>
        <v>Kv2 2025</v>
      </c>
      <c r="Y76" s="7" t="str">
        <f>+Y61</f>
        <v>Kv3 2025</v>
      </c>
      <c r="Z76" s="7" t="str">
        <f>+Z61</f>
        <v>Kv4 2025</v>
      </c>
      <c r="AA76" s="7" t="str">
        <f>+$AA$3</f>
        <v>12M 2025</v>
      </c>
      <c r="AB76" s="7" t="str">
        <f>+$AB$3</f>
        <v>Kv1 2026</v>
      </c>
    </row>
    <row r="77" spans="1:28" s="52" customFormat="1">
      <c r="A77" s="1"/>
      <c r="B77" s="83" t="s">
        <v>161</v>
      </c>
      <c r="C77" s="10">
        <v>286</v>
      </c>
      <c r="D77" s="10">
        <v>272</v>
      </c>
      <c r="E77" s="84">
        <v>257</v>
      </c>
      <c r="F77" s="84">
        <v>234</v>
      </c>
      <c r="G77" s="84">
        <v>234</v>
      </c>
      <c r="H77" s="84">
        <v>222</v>
      </c>
      <c r="I77" s="84">
        <v>210</v>
      </c>
      <c r="J77" s="84">
        <v>221</v>
      </c>
      <c r="K77" s="84">
        <v>303</v>
      </c>
      <c r="L77" s="84">
        <v>303</v>
      </c>
      <c r="M77" s="84">
        <v>476</v>
      </c>
      <c r="N77" s="84">
        <v>542</v>
      </c>
      <c r="O77" s="84">
        <v>515</v>
      </c>
      <c r="P77" s="84">
        <v>422</v>
      </c>
      <c r="Q77" s="84">
        <v>422</v>
      </c>
      <c r="R77" s="84">
        <v>221</v>
      </c>
      <c r="S77" s="84">
        <v>169</v>
      </c>
      <c r="T77" s="84">
        <v>237</v>
      </c>
      <c r="U77" s="84">
        <v>317</v>
      </c>
      <c r="V77" s="84">
        <f>+U77</f>
        <v>317</v>
      </c>
      <c r="W77" s="84">
        <v>430</v>
      </c>
      <c r="X77" s="84">
        <v>503</v>
      </c>
      <c r="Y77" s="84">
        <v>494</v>
      </c>
      <c r="Z77" s="84">
        <v>495</v>
      </c>
      <c r="AA77" s="84">
        <f>+Z77</f>
        <v>495</v>
      </c>
      <c r="AB77" s="84">
        <v>456</v>
      </c>
    </row>
    <row r="78" spans="1:28" s="52" customFormat="1">
      <c r="B78" s="83" t="s">
        <v>111</v>
      </c>
      <c r="C78" s="10">
        <v>6070</v>
      </c>
      <c r="D78" s="10">
        <v>6555</v>
      </c>
      <c r="E78" s="84">
        <v>6835</v>
      </c>
      <c r="F78" s="84">
        <v>6931</v>
      </c>
      <c r="G78" s="84">
        <v>6931</v>
      </c>
      <c r="H78" s="84">
        <v>7253</v>
      </c>
      <c r="I78" s="84">
        <v>7731</v>
      </c>
      <c r="J78" s="84">
        <v>8142</v>
      </c>
      <c r="K78" s="84">
        <v>8772</v>
      </c>
      <c r="L78" s="84">
        <v>8772</v>
      </c>
      <c r="M78" s="84">
        <v>9061</v>
      </c>
      <c r="N78" s="113">
        <v>14760</v>
      </c>
      <c r="O78" s="113">
        <v>14425</v>
      </c>
      <c r="P78" s="113">
        <v>13786</v>
      </c>
      <c r="Q78" s="113">
        <v>13786</v>
      </c>
      <c r="R78" s="113">
        <v>13038</v>
      </c>
      <c r="S78" s="84">
        <v>6880</v>
      </c>
      <c r="T78" s="84">
        <v>6907</v>
      </c>
      <c r="U78" s="84">
        <v>7244</v>
      </c>
      <c r="V78" s="113">
        <f>+U78</f>
        <v>7244</v>
      </c>
      <c r="W78" s="113">
        <v>7386</v>
      </c>
      <c r="X78" s="113">
        <v>7404</v>
      </c>
      <c r="Y78" s="113">
        <v>7545</v>
      </c>
      <c r="Z78" s="84">
        <v>7433</v>
      </c>
      <c r="AA78" s="113">
        <f>+Z78</f>
        <v>7433</v>
      </c>
      <c r="AB78" s="113">
        <v>7415</v>
      </c>
    </row>
    <row r="79" spans="1:28">
      <c r="B79" s="21" t="s">
        <v>20</v>
      </c>
      <c r="C79" s="87">
        <f t="shared" ref="C79:I79" si="207">C78/C77</f>
        <v>21.223776223776223</v>
      </c>
      <c r="D79" s="87">
        <f t="shared" si="207"/>
        <v>24.099264705882351</v>
      </c>
      <c r="E79" s="87">
        <f t="shared" si="207"/>
        <v>26.595330739299612</v>
      </c>
      <c r="F79" s="87">
        <f t="shared" si="207"/>
        <v>29.619658119658119</v>
      </c>
      <c r="G79" s="87">
        <f t="shared" si="207"/>
        <v>29.619658119658119</v>
      </c>
      <c r="H79" s="87">
        <f t="shared" si="207"/>
        <v>32.671171171171174</v>
      </c>
      <c r="I79" s="87">
        <f t="shared" si="207"/>
        <v>36.814285714285717</v>
      </c>
      <c r="J79" s="87">
        <f t="shared" ref="J79:L79" si="208">J78/J77</f>
        <v>36.841628959276015</v>
      </c>
      <c r="K79" s="87">
        <f t="shared" si="208"/>
        <v>28.950495049504951</v>
      </c>
      <c r="L79" s="87">
        <f t="shared" si="208"/>
        <v>28.950495049504951</v>
      </c>
      <c r="M79" s="87">
        <f t="shared" ref="M79:N79" si="209">M78/M77</f>
        <v>19.035714285714285</v>
      </c>
      <c r="N79" s="114">
        <f t="shared" si="209"/>
        <v>27.232472324723247</v>
      </c>
      <c r="O79" s="114">
        <f t="shared" ref="O79" si="210">O78/O77</f>
        <v>28.009708737864077</v>
      </c>
      <c r="P79" s="100">
        <f t="shared" ref="P79:R79" si="211">P78/P77</f>
        <v>32.66824644549763</v>
      </c>
      <c r="Q79" s="87">
        <f t="shared" si="211"/>
        <v>32.66824644549763</v>
      </c>
      <c r="R79" s="87">
        <f t="shared" si="211"/>
        <v>58.995475113122168</v>
      </c>
      <c r="S79" s="87">
        <f t="shared" ref="S79:T79" si="212">S78/S77</f>
        <v>40.710059171597635</v>
      </c>
      <c r="T79" s="87">
        <f t="shared" si="212"/>
        <v>29.143459915611814</v>
      </c>
      <c r="U79" s="87">
        <f t="shared" ref="U79:W79" si="213">U78/U77</f>
        <v>22.851735015772871</v>
      </c>
      <c r="V79" s="87">
        <f t="shared" si="213"/>
        <v>22.851735015772871</v>
      </c>
      <c r="W79" s="87">
        <f t="shared" si="213"/>
        <v>17.176744186046513</v>
      </c>
      <c r="X79" s="87">
        <f t="shared" ref="X79:AA79" si="214">X78/X77</f>
        <v>14.719681908548708</v>
      </c>
      <c r="Y79" s="87">
        <f t="shared" si="214"/>
        <v>15.273279352226721</v>
      </c>
      <c r="Z79" s="87">
        <f t="shared" si="214"/>
        <v>15.016161616161616</v>
      </c>
      <c r="AA79" s="87">
        <f t="shared" si="214"/>
        <v>15.016161616161616</v>
      </c>
      <c r="AB79" s="87">
        <f t="shared" ref="AB79" si="215">AB78/AB77</f>
        <v>16.260964912280702</v>
      </c>
    </row>
    <row r="80" spans="1:28">
      <c r="N80" s="1"/>
      <c r="O80" s="1"/>
      <c r="P80" s="1"/>
    </row>
    <row r="81" spans="1:43">
      <c r="B81" s="73"/>
      <c r="I81" s="73"/>
      <c r="N81" s="1"/>
      <c r="O81" s="1"/>
      <c r="P81" s="1"/>
    </row>
    <row r="82" spans="1:43">
      <c r="B82" s="19" t="s">
        <v>32</v>
      </c>
      <c r="C82" s="7" t="s">
        <v>185</v>
      </c>
      <c r="D82" s="7" t="s">
        <v>194</v>
      </c>
      <c r="E82" s="7" t="s">
        <v>199</v>
      </c>
      <c r="F82" s="7" t="s">
        <v>201</v>
      </c>
      <c r="G82" s="7" t="s">
        <v>202</v>
      </c>
      <c r="H82" s="7" t="s">
        <v>205</v>
      </c>
      <c r="I82" s="7" t="s">
        <v>218</v>
      </c>
      <c r="J82" s="7" t="s">
        <v>221</v>
      </c>
      <c r="K82" s="7" t="s">
        <v>223</v>
      </c>
      <c r="L82" s="7" t="s">
        <v>224</v>
      </c>
      <c r="M82" s="7" t="s">
        <v>226</v>
      </c>
      <c r="N82" s="7" t="s">
        <v>228</v>
      </c>
      <c r="O82" s="7" t="str">
        <f>O3</f>
        <v>Kv3 2023</v>
      </c>
      <c r="P82" s="7" t="str">
        <f>P3</f>
        <v>Kv4 2023</v>
      </c>
      <c r="Q82" s="7" t="s">
        <v>241</v>
      </c>
      <c r="R82" s="7" t="s">
        <v>242</v>
      </c>
      <c r="S82" s="7" t="str">
        <f>+S76</f>
        <v>Kv2 2024</v>
      </c>
      <c r="T82" s="7" t="str">
        <f>+T76</f>
        <v>Kv3 2024</v>
      </c>
      <c r="U82" s="7" t="str">
        <f>+U76</f>
        <v>Kv4 2024</v>
      </c>
      <c r="V82" s="7" t="str">
        <f>+$V$3</f>
        <v>12M 2024</v>
      </c>
      <c r="W82" s="7" t="str">
        <f>+$W$3</f>
        <v>Kv1 2025</v>
      </c>
      <c r="X82" s="7" t="str">
        <f>+X76</f>
        <v>Kv2 2025</v>
      </c>
      <c r="Y82" s="7" t="str">
        <f>+Y76</f>
        <v>Kv3 2025</v>
      </c>
      <c r="Z82" s="7" t="str">
        <f>+Z76</f>
        <v>Kv4 2025</v>
      </c>
      <c r="AA82" s="7" t="str">
        <f>+$AA$3</f>
        <v>12M 2025</v>
      </c>
      <c r="AB82" s="7" t="str">
        <f>+$AB$3</f>
        <v>Kv1 2026</v>
      </c>
    </row>
    <row r="83" spans="1:43">
      <c r="B83" s="11" t="s">
        <v>49</v>
      </c>
      <c r="C83" s="11">
        <v>222</v>
      </c>
      <c r="D83" s="11">
        <v>198.7</v>
      </c>
      <c r="E83" s="11">
        <v>187.2</v>
      </c>
      <c r="F83" s="11">
        <v>237.8</v>
      </c>
      <c r="G83" s="11">
        <v>237.8</v>
      </c>
      <c r="H83" s="11">
        <v>219</v>
      </c>
      <c r="I83" s="11">
        <v>206.1</v>
      </c>
      <c r="J83" s="11">
        <v>209.9</v>
      </c>
      <c r="K83" s="11">
        <v>240.8</v>
      </c>
      <c r="L83" s="11">
        <v>240.8</v>
      </c>
      <c r="M83" s="11">
        <v>294.89999999999998</v>
      </c>
      <c r="N83" s="11">
        <v>261.39999999999998</v>
      </c>
      <c r="O83" s="11">
        <v>272.2</v>
      </c>
      <c r="P83" s="11">
        <v>337.6</v>
      </c>
      <c r="Q83" s="11">
        <v>337.6</v>
      </c>
      <c r="R83" s="11">
        <v>382.9</v>
      </c>
      <c r="S83" s="11">
        <v>412.4</v>
      </c>
      <c r="T83" s="11">
        <v>390.2</v>
      </c>
      <c r="U83" s="11">
        <v>378.6</v>
      </c>
      <c r="V83" s="11">
        <f>+U83</f>
        <v>378.6</v>
      </c>
      <c r="W83" s="11">
        <v>371.8</v>
      </c>
      <c r="X83" s="11">
        <v>352.1</v>
      </c>
      <c r="Y83" s="11">
        <v>350.5</v>
      </c>
      <c r="Z83" s="11">
        <v>392.7</v>
      </c>
      <c r="AA83" s="11">
        <f>+Z83</f>
        <v>392.7</v>
      </c>
      <c r="AB83" s="11">
        <v>348.8</v>
      </c>
    </row>
    <row r="84" spans="1:43">
      <c r="A84" s="1"/>
      <c r="B84" s="11" t="s">
        <v>50</v>
      </c>
      <c r="C84" s="11">
        <v>11.03</v>
      </c>
      <c r="D84" s="11">
        <v>12.58</v>
      </c>
      <c r="E84" s="11">
        <v>13.37</v>
      </c>
      <c r="F84" s="11">
        <v>13.71</v>
      </c>
      <c r="G84" s="11">
        <v>13.71</v>
      </c>
      <c r="H84" s="11">
        <v>14.45</v>
      </c>
      <c r="I84" s="11">
        <v>16.45</v>
      </c>
      <c r="J84" s="11">
        <v>18.02</v>
      </c>
      <c r="K84" s="118">
        <v>19.940000000000001</v>
      </c>
      <c r="L84" s="11">
        <v>19.940000000000001</v>
      </c>
      <c r="M84" s="11">
        <v>20.45</v>
      </c>
      <c r="N84" s="11">
        <v>42.21</v>
      </c>
      <c r="O84" s="11">
        <v>41.36</v>
      </c>
      <c r="P84" s="11">
        <v>40.24</v>
      </c>
      <c r="Q84" s="11">
        <v>40.24</v>
      </c>
      <c r="R84" s="11">
        <v>38.97</v>
      </c>
      <c r="S84" s="11">
        <v>15.44</v>
      </c>
      <c r="T84" s="11">
        <v>15.14</v>
      </c>
      <c r="U84" s="11">
        <f>4.24+3.78+4.49+4.23</f>
        <v>16.740000000000002</v>
      </c>
      <c r="V84" s="11">
        <f>+U84</f>
        <v>16.740000000000002</v>
      </c>
      <c r="W84" s="11">
        <v>16.79</v>
      </c>
      <c r="X84" s="11">
        <v>16.61</v>
      </c>
      <c r="Y84" s="11">
        <v>17.03</v>
      </c>
      <c r="Z84" s="11">
        <v>17.09</v>
      </c>
      <c r="AA84" s="11">
        <f>+Z84</f>
        <v>17.09</v>
      </c>
      <c r="AB84" s="11">
        <v>17.3</v>
      </c>
    </row>
    <row r="85" spans="1:43">
      <c r="B85" s="21" t="s">
        <v>32</v>
      </c>
      <c r="C85" s="24">
        <f t="shared" ref="C85:J85" si="216">C83/C84</f>
        <v>20.126926563916591</v>
      </c>
      <c r="D85" s="24">
        <f t="shared" si="216"/>
        <v>15.794912559618441</v>
      </c>
      <c r="E85" s="24">
        <f t="shared" si="216"/>
        <v>14.00149588631264</v>
      </c>
      <c r="F85" s="24">
        <f t="shared" si="216"/>
        <v>17.345003646973012</v>
      </c>
      <c r="G85" s="24">
        <f t="shared" si="216"/>
        <v>17.345003646973012</v>
      </c>
      <c r="H85" s="24">
        <f t="shared" si="216"/>
        <v>15.155709342560554</v>
      </c>
      <c r="I85" s="24">
        <f t="shared" si="216"/>
        <v>12.52887537993921</v>
      </c>
      <c r="J85" s="24">
        <f t="shared" si="216"/>
        <v>11.648168701442842</v>
      </c>
      <c r="K85" s="24">
        <f t="shared" ref="K85:L85" si="217">K83/K84</f>
        <v>12.076228686058174</v>
      </c>
      <c r="L85" s="24">
        <f t="shared" si="217"/>
        <v>12.076228686058174</v>
      </c>
      <c r="M85" s="24">
        <f t="shared" ref="M85:N85" si="218">M83/M84</f>
        <v>14.420537897310513</v>
      </c>
      <c r="N85" s="24">
        <f t="shared" si="218"/>
        <v>6.1928452973229087</v>
      </c>
      <c r="O85" s="24">
        <f t="shared" ref="O85" si="219">O83/O84</f>
        <v>6.5812379110251449</v>
      </c>
      <c r="P85" s="24">
        <f t="shared" ref="P85:Q85" si="220">P83/P84</f>
        <v>8.389662027833003</v>
      </c>
      <c r="Q85" s="24">
        <f t="shared" si="220"/>
        <v>8.389662027833003</v>
      </c>
      <c r="R85" s="24">
        <f>R83/R84</f>
        <v>9.8255068001026427</v>
      </c>
      <c r="S85" s="24">
        <f t="shared" ref="S85" si="221">S83/S84</f>
        <v>26.709844559585491</v>
      </c>
      <c r="T85" s="24">
        <f>T83/T84</f>
        <v>25.772787318361953</v>
      </c>
      <c r="U85" s="24">
        <f>U83/U84</f>
        <v>22.616487455197131</v>
      </c>
      <c r="V85" s="24">
        <f t="shared" ref="V85" si="222">V83/V84</f>
        <v>22.616487455197131</v>
      </c>
      <c r="W85" s="24">
        <f>W83/W84</f>
        <v>22.144133412745685</v>
      </c>
      <c r="X85" s="24">
        <f>X83/X84</f>
        <v>21.19807344972908</v>
      </c>
      <c r="Y85" s="24">
        <f>Y83/Y84</f>
        <v>20.581327069876686</v>
      </c>
      <c r="Z85" s="24">
        <f>Z83/Z84</f>
        <v>22.978349912229373</v>
      </c>
      <c r="AA85" s="24">
        <f t="shared" ref="AA85:AB85" si="223">AA83/AA84</f>
        <v>22.978349912229373</v>
      </c>
      <c r="AB85" s="24">
        <f t="shared" si="223"/>
        <v>20.161849710982658</v>
      </c>
    </row>
    <row r="86" spans="1:43">
      <c r="B86" s="25"/>
      <c r="C86" s="78"/>
      <c r="D86" s="78"/>
      <c r="E86" s="78"/>
      <c r="F86" s="78"/>
      <c r="G86" s="78"/>
      <c r="H86" s="25"/>
      <c r="I86" s="25"/>
      <c r="L86" s="78"/>
      <c r="Q86" s="78"/>
      <c r="V86" s="78"/>
      <c r="AA86" s="78"/>
      <c r="AB86" s="78"/>
    </row>
    <row r="87" spans="1:43" ht="18.75">
      <c r="B87" s="77"/>
      <c r="C87" s="26"/>
      <c r="D87" s="26"/>
      <c r="E87" s="26"/>
      <c r="F87" s="26"/>
      <c r="G87" s="26"/>
      <c r="H87" s="26"/>
      <c r="I87" s="77"/>
      <c r="L87" s="26"/>
      <c r="Q87" s="26"/>
      <c r="V87" s="26"/>
      <c r="AA87" s="26"/>
      <c r="AB87" s="26"/>
    </row>
    <row r="88" spans="1:43">
      <c r="B88" s="19" t="s">
        <v>267</v>
      </c>
      <c r="C88" s="7" t="s">
        <v>185</v>
      </c>
      <c r="D88" s="7" t="s">
        <v>194</v>
      </c>
      <c r="E88" s="7" t="s">
        <v>199</v>
      </c>
      <c r="F88" s="7" t="s">
        <v>201</v>
      </c>
      <c r="G88" s="7" t="s">
        <v>202</v>
      </c>
      <c r="H88" s="7" t="s">
        <v>205</v>
      </c>
      <c r="I88" s="7" t="s">
        <v>218</v>
      </c>
      <c r="J88" s="7" t="s">
        <v>221</v>
      </c>
      <c r="K88" s="7" t="s">
        <v>223</v>
      </c>
      <c r="L88" s="7" t="s">
        <v>224</v>
      </c>
      <c r="M88" s="7" t="s">
        <v>226</v>
      </c>
      <c r="N88" s="7" t="s">
        <v>228</v>
      </c>
      <c r="O88" s="7" t="str">
        <f>O3</f>
        <v>Kv3 2023</v>
      </c>
      <c r="P88" s="7" t="str">
        <f>P3</f>
        <v>Kv4 2023</v>
      </c>
      <c r="Q88" s="7" t="s">
        <v>241</v>
      </c>
      <c r="R88" s="7" t="s">
        <v>242</v>
      </c>
      <c r="S88" s="7" t="str">
        <f>+S82</f>
        <v>Kv2 2024</v>
      </c>
      <c r="T88" s="7" t="str">
        <f>+T82</f>
        <v>Kv3 2024</v>
      </c>
      <c r="U88" s="7" t="str">
        <f>+U82</f>
        <v>Kv4 2024</v>
      </c>
      <c r="V88" s="7" t="str">
        <f>+$V$3</f>
        <v>12M 2024</v>
      </c>
      <c r="W88" s="7" t="str">
        <f>+$W$3</f>
        <v>Kv1 2025</v>
      </c>
      <c r="X88" s="7" t="str">
        <f>+X82</f>
        <v>Kv2 2025</v>
      </c>
      <c r="Y88" s="7" t="str">
        <f>+Y82</f>
        <v>Kv3 2025</v>
      </c>
      <c r="Z88" s="7" t="str">
        <f>+Z82</f>
        <v>Kv4 2025</v>
      </c>
      <c r="AA88" s="7" t="str">
        <f>+$AA$3</f>
        <v>12M 2025</v>
      </c>
      <c r="AB88" s="7" t="str">
        <f>+$AB$3</f>
        <v>Kv1 2026</v>
      </c>
    </row>
    <row r="89" spans="1:43">
      <c r="B89" s="11" t="s">
        <v>100</v>
      </c>
      <c r="C89" s="20">
        <v>3123</v>
      </c>
      <c r="D89" s="20">
        <v>3547</v>
      </c>
      <c r="E89" s="20">
        <v>3820</v>
      </c>
      <c r="F89" s="20">
        <v>3903</v>
      </c>
      <c r="G89" s="20">
        <f>G13</f>
        <v>3903</v>
      </c>
      <c r="H89" s="20">
        <f>D13+E13+F13+H13</f>
        <v>4151</v>
      </c>
      <c r="I89" s="20">
        <f>E13+F13+H13+I13</f>
        <v>4434</v>
      </c>
      <c r="J89" s="20">
        <f>F13+H13+I13+J13</f>
        <v>4755</v>
      </c>
      <c r="K89" s="20">
        <f>H13+I13+J13+K13</f>
        <v>5066</v>
      </c>
      <c r="L89" s="20">
        <f>L13</f>
        <v>5066</v>
      </c>
      <c r="M89" s="20">
        <f>I13+J13+K13+M13</f>
        <v>5247</v>
      </c>
      <c r="N89" s="98">
        <f>J13+K13+M13+N13</f>
        <v>5370</v>
      </c>
      <c r="O89" s="98">
        <f>K13+M13+N13+O13</f>
        <v>5453</v>
      </c>
      <c r="P89" s="98">
        <f>M13+N13+O13+P13</f>
        <v>5518</v>
      </c>
      <c r="Q89" s="20">
        <f>Q13</f>
        <v>5518</v>
      </c>
      <c r="R89" s="20">
        <f>N13+O13+P13+R13</f>
        <v>5486</v>
      </c>
      <c r="S89" s="20">
        <f>O13+P13+R13+S13</f>
        <v>5527</v>
      </c>
      <c r="T89" s="20">
        <f>P13+R13+S13+T13</f>
        <v>5486</v>
      </c>
      <c r="U89" s="20">
        <f>R13+S13+T13+U13</f>
        <v>5602</v>
      </c>
      <c r="V89" s="20">
        <f>V13</f>
        <v>5602</v>
      </c>
      <c r="W89" s="20">
        <f>S13+T13+U13+W13</f>
        <v>5685</v>
      </c>
      <c r="X89" s="20">
        <f>T13+U13+W13+X13</f>
        <v>5644</v>
      </c>
      <c r="Y89" s="20">
        <f>U13+W13+X13+Y13</f>
        <v>5727</v>
      </c>
      <c r="Z89" s="20">
        <f>W13+X13+Y13+Z13</f>
        <v>5706</v>
      </c>
      <c r="AA89" s="20">
        <f>AA13</f>
        <v>5706</v>
      </c>
      <c r="AB89" s="20">
        <f>X13+Y13+Z13+AB13</f>
        <v>5692</v>
      </c>
      <c r="AI89" s="72"/>
      <c r="AJ89" s="72"/>
      <c r="AK89" s="72"/>
      <c r="AL89" s="72"/>
      <c r="AM89" s="72"/>
      <c r="AN89" s="72"/>
      <c r="AO89" s="72"/>
      <c r="AP89" s="72"/>
      <c r="AQ89" s="72"/>
    </row>
    <row r="90" spans="1:43">
      <c r="B90" s="11" t="s">
        <v>211</v>
      </c>
      <c r="C90" s="20">
        <v>2995</v>
      </c>
      <c r="D90" s="20">
        <v>3434</v>
      </c>
      <c r="E90" s="20">
        <v>3758</v>
      </c>
      <c r="F90" s="20">
        <v>3820</v>
      </c>
      <c r="G90" s="20">
        <f>G15</f>
        <v>3820</v>
      </c>
      <c r="H90" s="20">
        <f>D15+E15+F15+H15</f>
        <v>3938</v>
      </c>
      <c r="I90" s="20">
        <f>E15+F15+H15+I15</f>
        <v>4228</v>
      </c>
      <c r="J90" s="20">
        <f>F15+H15+I15+J15</f>
        <v>4501</v>
      </c>
      <c r="K90" s="20">
        <f>H15+I15+J15+K15</f>
        <v>4825</v>
      </c>
      <c r="L90" s="20">
        <f>L15</f>
        <v>4825</v>
      </c>
      <c r="M90" s="20">
        <f>I15+J15+K15+M15</f>
        <v>4982</v>
      </c>
      <c r="N90" s="98">
        <f>J15+K15+M15+N15</f>
        <v>4944</v>
      </c>
      <c r="O90" s="98">
        <f>K15+M15+N15+O15</f>
        <v>4984</v>
      </c>
      <c r="P90" s="98">
        <f>M15+N15+O15+P15</f>
        <v>4904</v>
      </c>
      <c r="Q90" s="20">
        <f>Q15</f>
        <v>4904</v>
      </c>
      <c r="R90" s="20">
        <f>N15+O15+P15+R15</f>
        <v>4866</v>
      </c>
      <c r="S90" s="20">
        <f>O15+P15+R15+S15</f>
        <v>4990</v>
      </c>
      <c r="T90" s="20">
        <f>P15+R15+S15+T15</f>
        <v>4987</v>
      </c>
      <c r="U90" s="20">
        <f>R15+S15+T15+U15</f>
        <v>5287</v>
      </c>
      <c r="V90" s="20">
        <f>V15</f>
        <v>5287</v>
      </c>
      <c r="W90" s="20">
        <f>S15+T15+U15+W15</f>
        <v>5364</v>
      </c>
      <c r="X90" s="20">
        <f>T15+U15+W15+X15</f>
        <v>5354</v>
      </c>
      <c r="Y90" s="20">
        <f>U15+W15+X15+Y15</f>
        <v>5438</v>
      </c>
      <c r="Z90" s="20">
        <f>W15+X15+Y15+Z15</f>
        <v>5317</v>
      </c>
      <c r="AA90" s="20">
        <f>AA15</f>
        <v>5317</v>
      </c>
      <c r="AB90" s="20">
        <f>X15+Y15+Z15+AB15</f>
        <v>5322</v>
      </c>
      <c r="AI90" s="72"/>
      <c r="AJ90" s="72"/>
      <c r="AK90" s="72"/>
      <c r="AL90" s="72"/>
      <c r="AM90" s="72"/>
      <c r="AN90" s="72"/>
      <c r="AO90" s="72"/>
      <c r="AP90" s="72"/>
      <c r="AQ90" s="72"/>
    </row>
    <row r="91" spans="1:43">
      <c r="B91" s="11" t="s">
        <v>51</v>
      </c>
      <c r="C91" s="20">
        <v>26091</v>
      </c>
      <c r="D91" s="20">
        <v>25594</v>
      </c>
      <c r="E91" s="20">
        <v>25558</v>
      </c>
      <c r="F91" s="20">
        <v>25854</v>
      </c>
      <c r="G91" s="20">
        <v>25854</v>
      </c>
      <c r="H91" s="20">
        <v>26523</v>
      </c>
      <c r="I91" s="20">
        <v>27494</v>
      </c>
      <c r="J91" s="20">
        <v>28788</v>
      </c>
      <c r="K91" s="20">
        <v>31772</v>
      </c>
      <c r="L91" s="20">
        <v>31772</v>
      </c>
      <c r="M91" s="20">
        <v>35262</v>
      </c>
      <c r="N91" s="98">
        <v>38713</v>
      </c>
      <c r="O91" s="98">
        <v>41856</v>
      </c>
      <c r="P91" s="98">
        <v>42931</v>
      </c>
      <c r="Q91" s="98">
        <v>42931</v>
      </c>
      <c r="R91" s="20">
        <v>43046</v>
      </c>
      <c r="S91" s="20">
        <v>42652</v>
      </c>
      <c r="T91" s="20">
        <v>43891</v>
      </c>
      <c r="U91" s="20">
        <v>45761</v>
      </c>
      <c r="V91" s="20">
        <f>+U91</f>
        <v>45761</v>
      </c>
      <c r="W91" s="20">
        <v>47465</v>
      </c>
      <c r="X91" s="20">
        <v>48129</v>
      </c>
      <c r="Y91" s="20">
        <v>47904</v>
      </c>
      <c r="Z91" s="20">
        <v>47068</v>
      </c>
      <c r="AA91" s="20">
        <f>+Z91</f>
        <v>47068</v>
      </c>
      <c r="AB91" s="20">
        <v>46284</v>
      </c>
      <c r="AI91" s="72"/>
      <c r="AJ91" s="72"/>
      <c r="AK91" s="72"/>
      <c r="AL91" s="72"/>
      <c r="AM91" s="72"/>
      <c r="AN91" s="72"/>
      <c r="AO91" s="72"/>
      <c r="AP91" s="72"/>
      <c r="AQ91" s="72"/>
    </row>
    <row r="92" spans="1:43">
      <c r="B92" s="11" t="s">
        <v>209</v>
      </c>
      <c r="C92" s="20">
        <v>25987</v>
      </c>
      <c r="D92" s="20">
        <v>25481</v>
      </c>
      <c r="E92" s="20">
        <v>25437</v>
      </c>
      <c r="F92" s="20">
        <v>25722</v>
      </c>
      <c r="G92" s="20">
        <v>25722</v>
      </c>
      <c r="H92" s="20">
        <v>26379</v>
      </c>
      <c r="I92" s="20">
        <v>27327</v>
      </c>
      <c r="J92" s="20">
        <v>28604</v>
      </c>
      <c r="K92" s="20">
        <v>31577</v>
      </c>
      <c r="L92" s="20">
        <v>31577</v>
      </c>
      <c r="M92" s="20">
        <v>35054</v>
      </c>
      <c r="N92" s="98">
        <v>38491</v>
      </c>
      <c r="O92" s="98">
        <v>41630</v>
      </c>
      <c r="P92" s="98">
        <v>42703</v>
      </c>
      <c r="Q92" s="98">
        <v>42703</v>
      </c>
      <c r="R92" s="20">
        <v>42824</v>
      </c>
      <c r="S92" s="20">
        <v>42444</v>
      </c>
      <c r="T92" s="20">
        <v>43680</v>
      </c>
      <c r="U92" s="20">
        <v>45552</v>
      </c>
      <c r="V92" s="20">
        <f>+U92</f>
        <v>45552</v>
      </c>
      <c r="W92" s="20">
        <v>47269</v>
      </c>
      <c r="X92" s="20">
        <v>47951</v>
      </c>
      <c r="Y92" s="20">
        <v>47751</v>
      </c>
      <c r="Z92" s="20">
        <v>46924</v>
      </c>
      <c r="AA92" s="20">
        <f>+Z92</f>
        <v>46924</v>
      </c>
      <c r="AB92" s="20">
        <v>46136</v>
      </c>
      <c r="AI92" s="72"/>
      <c r="AJ92" s="72"/>
      <c r="AK92" s="72"/>
      <c r="AL92" s="72"/>
      <c r="AM92" s="72"/>
      <c r="AN92" s="72"/>
      <c r="AO92" s="72"/>
      <c r="AP92" s="72"/>
      <c r="AQ92" s="72"/>
    </row>
    <row r="93" spans="1:43">
      <c r="B93" s="11" t="s">
        <v>318</v>
      </c>
      <c r="C93" s="20">
        <v>12997</v>
      </c>
      <c r="D93" s="20">
        <v>12756</v>
      </c>
      <c r="E93" s="20">
        <v>12717</v>
      </c>
      <c r="F93" s="20">
        <v>12801</v>
      </c>
      <c r="G93" s="20">
        <v>12801</v>
      </c>
      <c r="H93" s="20">
        <v>13047</v>
      </c>
      <c r="I93" s="20">
        <v>13420</v>
      </c>
      <c r="J93" s="20">
        <v>13901</v>
      </c>
      <c r="K93" s="20">
        <v>16122</v>
      </c>
      <c r="L93" s="20">
        <f>+K93</f>
        <v>16122</v>
      </c>
      <c r="M93" s="20">
        <v>17913</v>
      </c>
      <c r="N93" s="20">
        <v>19766</v>
      </c>
      <c r="O93" s="20">
        <v>21539</v>
      </c>
      <c r="P93" s="20">
        <v>21393</v>
      </c>
      <c r="Q93" s="20">
        <f>+P93</f>
        <v>21393</v>
      </c>
      <c r="R93" s="98">
        <v>21508</v>
      </c>
      <c r="S93" s="98">
        <v>21685</v>
      </c>
      <c r="T93" s="98">
        <v>22314</v>
      </c>
      <c r="U93" s="98">
        <v>23274</v>
      </c>
      <c r="V93" s="98">
        <f>+U93</f>
        <v>23274</v>
      </c>
      <c r="W93" s="98">
        <v>24176</v>
      </c>
      <c r="X93" s="98">
        <v>24508</v>
      </c>
      <c r="Y93" s="98">
        <v>24341</v>
      </c>
      <c r="Z93" s="98">
        <v>23872</v>
      </c>
      <c r="AA93" s="98">
        <f>+Z93</f>
        <v>23872</v>
      </c>
      <c r="AB93" s="98">
        <v>23406</v>
      </c>
      <c r="AC93" s="20"/>
      <c r="AD93" s="20"/>
      <c r="AI93" s="72"/>
      <c r="AJ93" s="72"/>
      <c r="AK93" s="72"/>
      <c r="AL93" s="72"/>
      <c r="AM93" s="72"/>
      <c r="AN93" s="72"/>
      <c r="AO93" s="72"/>
      <c r="AP93" s="72"/>
      <c r="AQ93" s="72"/>
    </row>
    <row r="94" spans="1:43">
      <c r="B94" s="11" t="s">
        <v>319</v>
      </c>
      <c r="C94" s="20">
        <v>12997</v>
      </c>
      <c r="D94" s="20">
        <v>12756</v>
      </c>
      <c r="E94" s="20">
        <v>12717</v>
      </c>
      <c r="F94" s="20">
        <v>12801</v>
      </c>
      <c r="G94" s="20">
        <v>12801</v>
      </c>
      <c r="H94" s="20">
        <v>13047</v>
      </c>
      <c r="I94" s="20">
        <v>13420</v>
      </c>
      <c r="J94" s="20">
        <v>13901</v>
      </c>
      <c r="K94" s="20">
        <v>16122</v>
      </c>
      <c r="L94" s="20">
        <f>+K94</f>
        <v>16122</v>
      </c>
      <c r="M94" s="20">
        <v>17913</v>
      </c>
      <c r="N94" s="20">
        <v>19766</v>
      </c>
      <c r="O94" s="20">
        <v>21539</v>
      </c>
      <c r="P94" s="20">
        <v>21393</v>
      </c>
      <c r="Q94" s="20">
        <f>+P94</f>
        <v>21393</v>
      </c>
      <c r="R94" s="98">
        <v>21508</v>
      </c>
      <c r="S94" s="98">
        <v>21685</v>
      </c>
      <c r="T94" s="98">
        <v>22314</v>
      </c>
      <c r="U94" s="98">
        <v>23274</v>
      </c>
      <c r="V94" s="98">
        <f>+U94</f>
        <v>23274</v>
      </c>
      <c r="W94" s="98">
        <v>24176</v>
      </c>
      <c r="X94" s="98">
        <v>24508</v>
      </c>
      <c r="Y94" s="98">
        <v>24341</v>
      </c>
      <c r="Z94" s="98">
        <v>23872</v>
      </c>
      <c r="AA94" s="98">
        <f>+Z94</f>
        <v>23872</v>
      </c>
      <c r="AB94" s="98">
        <v>23406</v>
      </c>
      <c r="AC94" s="20"/>
      <c r="AD94" s="20"/>
      <c r="AI94" s="72"/>
      <c r="AJ94" s="72"/>
      <c r="AK94" s="72"/>
      <c r="AL94" s="72"/>
      <c r="AM94" s="72"/>
      <c r="AN94" s="72"/>
      <c r="AO94" s="72"/>
      <c r="AP94" s="72"/>
      <c r="AQ94" s="72"/>
    </row>
    <row r="95" spans="1:43" ht="15.75" customHeight="1">
      <c r="B95" s="27" t="s">
        <v>52</v>
      </c>
      <c r="C95" s="85">
        <v>0.11969644705070714</v>
      </c>
      <c r="D95" s="85">
        <f t="shared" ref="D95:Y95" si="224">D89/D91</f>
        <v>0.13858716886770336</v>
      </c>
      <c r="E95" s="85">
        <f t="shared" si="224"/>
        <v>0.1494639643164567</v>
      </c>
      <c r="F95" s="85">
        <f t="shared" si="224"/>
        <v>0.15096310048735206</v>
      </c>
      <c r="G95" s="85">
        <f t="shared" si="224"/>
        <v>0.15096310048735206</v>
      </c>
      <c r="H95" s="85">
        <f t="shared" si="224"/>
        <v>0.15650567432040116</v>
      </c>
      <c r="I95" s="85">
        <f t="shared" si="224"/>
        <v>0.16127155015639777</v>
      </c>
      <c r="J95" s="85">
        <f t="shared" si="224"/>
        <v>0.16517298874531056</v>
      </c>
      <c r="K95" s="85">
        <f t="shared" si="224"/>
        <v>0.15944857106886567</v>
      </c>
      <c r="L95" s="85">
        <f t="shared" si="224"/>
        <v>0.15944857106886567</v>
      </c>
      <c r="M95" s="85">
        <f t="shared" si="224"/>
        <v>0.14880040837161818</v>
      </c>
      <c r="N95" s="101">
        <f t="shared" si="224"/>
        <v>0.13871309379278279</v>
      </c>
      <c r="O95" s="101">
        <f t="shared" si="224"/>
        <v>0.13028000764525993</v>
      </c>
      <c r="P95" s="101">
        <f t="shared" si="224"/>
        <v>0.1285318301460483</v>
      </c>
      <c r="Q95" s="85">
        <f t="shared" si="224"/>
        <v>0.1285318301460483</v>
      </c>
      <c r="R95" s="85">
        <f t="shared" si="224"/>
        <v>0.12744505877433443</v>
      </c>
      <c r="S95" s="85">
        <f>S89/S91</f>
        <v>0.12958360686485978</v>
      </c>
      <c r="T95" s="85">
        <f t="shared" si="224"/>
        <v>0.12499145610717459</v>
      </c>
      <c r="U95" s="85">
        <f t="shared" si="224"/>
        <v>0.12241865343851752</v>
      </c>
      <c r="V95" s="85">
        <f t="shared" si="224"/>
        <v>0.12241865343851752</v>
      </c>
      <c r="W95" s="85">
        <f t="shared" si="224"/>
        <v>0.11977246392078374</v>
      </c>
      <c r="X95" s="85">
        <f>X89/X91</f>
        <v>0.11726817511271791</v>
      </c>
      <c r="Y95" s="85">
        <f t="shared" si="224"/>
        <v>0.11955160320641282</v>
      </c>
      <c r="Z95" s="85">
        <f t="shared" ref="Z95:AA95" si="225">Z89/Z91</f>
        <v>0.12122886037222741</v>
      </c>
      <c r="AA95" s="85">
        <f t="shared" si="225"/>
        <v>0.12122886037222741</v>
      </c>
      <c r="AB95" s="85">
        <f>AB89/AB91</f>
        <v>0.12297986345173278</v>
      </c>
      <c r="AI95" s="72"/>
      <c r="AJ95" s="72"/>
      <c r="AK95" s="72"/>
      <c r="AL95" s="72"/>
      <c r="AM95" s="72"/>
      <c r="AN95" s="72"/>
      <c r="AO95" s="72"/>
      <c r="AP95" s="72"/>
      <c r="AQ95" s="72"/>
    </row>
    <row r="96" spans="1:43" s="8" customFormat="1">
      <c r="B96" s="27" t="s">
        <v>210</v>
      </c>
      <c r="C96" s="139">
        <v>0.11524993265863701</v>
      </c>
      <c r="D96" s="139">
        <f t="shared" ref="D96:Y96" si="226">D90/D92</f>
        <v>0.13476708135473489</v>
      </c>
      <c r="E96" s="139">
        <f t="shared" si="226"/>
        <v>0.1477375476667846</v>
      </c>
      <c r="F96" s="139">
        <f t="shared" si="226"/>
        <v>0.14851100225487909</v>
      </c>
      <c r="G96" s="139">
        <f t="shared" si="226"/>
        <v>0.14851100225487909</v>
      </c>
      <c r="H96" s="139">
        <f t="shared" si="226"/>
        <v>0.14928541642973578</v>
      </c>
      <c r="I96" s="139">
        <f t="shared" si="226"/>
        <v>0.15471877630182604</v>
      </c>
      <c r="J96" s="139">
        <f t="shared" si="226"/>
        <v>0.15735561459935674</v>
      </c>
      <c r="K96" s="139">
        <f t="shared" si="226"/>
        <v>0.15280108940051304</v>
      </c>
      <c r="L96" s="139">
        <f t="shared" si="226"/>
        <v>0.15280108940051304</v>
      </c>
      <c r="M96" s="139">
        <f t="shared" si="226"/>
        <v>0.14212358076111142</v>
      </c>
      <c r="N96" s="139">
        <f t="shared" si="226"/>
        <v>0.12844561066223273</v>
      </c>
      <c r="O96" s="139">
        <f t="shared" si="226"/>
        <v>0.11972135479221716</v>
      </c>
      <c r="P96" s="139">
        <f t="shared" si="226"/>
        <v>0.11483970681216776</v>
      </c>
      <c r="Q96" s="139">
        <f t="shared" si="226"/>
        <v>0.11483970681216776</v>
      </c>
      <c r="R96" s="139">
        <f t="shared" si="226"/>
        <v>0.11362787222118438</v>
      </c>
      <c r="S96" s="139">
        <f t="shared" si="226"/>
        <v>0.11756667609084911</v>
      </c>
      <c r="T96" s="139">
        <f t="shared" si="226"/>
        <v>0.11417124542124542</v>
      </c>
      <c r="U96" s="139">
        <f t="shared" si="226"/>
        <v>0.11606515630488233</v>
      </c>
      <c r="V96" s="139">
        <f t="shared" si="226"/>
        <v>0.11606515630488233</v>
      </c>
      <c r="W96" s="139">
        <f t="shared" si="226"/>
        <v>0.11347817808711841</v>
      </c>
      <c r="X96" s="139">
        <f t="shared" si="226"/>
        <v>0.11165564847448436</v>
      </c>
      <c r="Y96" s="139">
        <f t="shared" si="226"/>
        <v>0.11388243178153337</v>
      </c>
      <c r="Z96" s="139">
        <f t="shared" ref="Z96:AA96" si="227">Z90/Z92</f>
        <v>0.11331088568749467</v>
      </c>
      <c r="AA96" s="139">
        <f t="shared" si="227"/>
        <v>0.11331088568749467</v>
      </c>
      <c r="AB96" s="139">
        <f t="shared" ref="AB96" si="228">AB90/AB92</f>
        <v>0.11535460378012832</v>
      </c>
      <c r="AI96" s="72"/>
      <c r="AJ96" s="72"/>
      <c r="AK96" s="72"/>
      <c r="AL96" s="72"/>
      <c r="AM96" s="72"/>
      <c r="AN96" s="72"/>
      <c r="AO96" s="72"/>
      <c r="AP96" s="72"/>
      <c r="AQ96" s="72"/>
    </row>
    <row r="97" spans="2:43" s="153" customFormat="1" ht="14.25" customHeight="1">
      <c r="B97" s="83" t="s">
        <v>320</v>
      </c>
      <c r="C97" s="139">
        <v>0.23850618603940738</v>
      </c>
      <c r="D97" s="139">
        <f t="shared" ref="D97:Y97" si="229">+D89/(D91-D93)</f>
        <v>0.27628914161084284</v>
      </c>
      <c r="E97" s="139">
        <f t="shared" si="229"/>
        <v>0.2974846195779145</v>
      </c>
      <c r="F97" s="139">
        <f t="shared" si="229"/>
        <v>0.29901172144334637</v>
      </c>
      <c r="G97" s="139">
        <f t="shared" si="229"/>
        <v>0.29901172144334637</v>
      </c>
      <c r="H97" s="139">
        <f t="shared" si="229"/>
        <v>0.30802908875037105</v>
      </c>
      <c r="I97" s="139">
        <f t="shared" si="229"/>
        <v>0.31504902657382405</v>
      </c>
      <c r="J97" s="139">
        <f t="shared" si="229"/>
        <v>0.31940619332303349</v>
      </c>
      <c r="K97" s="139">
        <f t="shared" si="229"/>
        <v>0.32370607028753995</v>
      </c>
      <c r="L97" s="139">
        <f t="shared" si="229"/>
        <v>0.32370607028753995</v>
      </c>
      <c r="M97" s="139">
        <f t="shared" si="229"/>
        <v>0.30243818087497837</v>
      </c>
      <c r="N97" s="139">
        <f t="shared" si="229"/>
        <v>0.2834221776534544</v>
      </c>
      <c r="O97" s="139">
        <f t="shared" si="229"/>
        <v>0.26839592459516659</v>
      </c>
      <c r="P97" s="139">
        <f t="shared" si="229"/>
        <v>0.256198347107438</v>
      </c>
      <c r="Q97" s="139">
        <f t="shared" si="229"/>
        <v>0.256198347107438</v>
      </c>
      <c r="R97" s="139">
        <f t="shared" si="229"/>
        <v>0.25471260098430681</v>
      </c>
      <c r="S97" s="139">
        <f t="shared" si="229"/>
        <v>0.2636047121667382</v>
      </c>
      <c r="T97" s="139">
        <f t="shared" si="229"/>
        <v>0.25425221300458822</v>
      </c>
      <c r="U97" s="139">
        <f t="shared" si="229"/>
        <v>0.24912171476853293</v>
      </c>
      <c r="V97" s="139">
        <f t="shared" si="229"/>
        <v>0.24912171476853293</v>
      </c>
      <c r="W97" s="139">
        <f t="shared" si="229"/>
        <v>0.24410665979647045</v>
      </c>
      <c r="X97" s="139">
        <f>+X89/(X91-X93)</f>
        <v>0.23893992633673425</v>
      </c>
      <c r="Y97" s="139">
        <f t="shared" si="229"/>
        <v>0.24305054534651785</v>
      </c>
      <c r="Z97" s="139">
        <f t="shared" ref="Z97:AA97" si="230">+Z89/(Z91-Z93)</f>
        <v>0.24599068804966373</v>
      </c>
      <c r="AA97" s="139">
        <f t="shared" si="230"/>
        <v>0.24599068804966373</v>
      </c>
      <c r="AB97" s="139">
        <f t="shared" ref="AB97" si="231">+AB89/(AB91-AB93)</f>
        <v>0.24879797185068625</v>
      </c>
      <c r="AI97" s="72"/>
      <c r="AJ97" s="72"/>
      <c r="AK97" s="72"/>
      <c r="AL97" s="72"/>
      <c r="AM97" s="72"/>
      <c r="AN97" s="72"/>
      <c r="AO97" s="72"/>
      <c r="AP97" s="72"/>
      <c r="AQ97" s="72"/>
    </row>
    <row r="98" spans="2:43" s="8" customFormat="1">
      <c r="B98" s="83" t="s">
        <v>321</v>
      </c>
      <c r="C98" s="139">
        <v>0.23056197074672824</v>
      </c>
      <c r="D98" s="139">
        <f t="shared" ref="D98:Y98" si="232">+D90/(D92-D94)</f>
        <v>0.26986247544204323</v>
      </c>
      <c r="E98" s="139">
        <f t="shared" si="232"/>
        <v>0.29544025157232706</v>
      </c>
      <c r="F98" s="139">
        <f t="shared" si="232"/>
        <v>0.2956427521089699</v>
      </c>
      <c r="G98" s="139">
        <f t="shared" si="232"/>
        <v>0.2956427521089699</v>
      </c>
      <c r="H98" s="139">
        <f t="shared" si="232"/>
        <v>0.2953795379537954</v>
      </c>
      <c r="I98" s="139">
        <f t="shared" si="232"/>
        <v>0.3040195584957216</v>
      </c>
      <c r="J98" s="139">
        <f t="shared" si="232"/>
        <v>0.30612800108821331</v>
      </c>
      <c r="K98" s="139">
        <f t="shared" si="232"/>
        <v>0.31219670009705597</v>
      </c>
      <c r="L98" s="139">
        <f t="shared" si="232"/>
        <v>0.31219670009705597</v>
      </c>
      <c r="M98" s="139">
        <f t="shared" si="232"/>
        <v>0.29064815354996792</v>
      </c>
      <c r="N98" s="139">
        <f t="shared" si="232"/>
        <v>0.26403204272363151</v>
      </c>
      <c r="O98" s="139">
        <f t="shared" si="232"/>
        <v>0.2480712756955851</v>
      </c>
      <c r="P98" s="139">
        <f t="shared" si="232"/>
        <v>0.2301267010793055</v>
      </c>
      <c r="Q98" s="139">
        <f t="shared" si="232"/>
        <v>0.2301267010793055</v>
      </c>
      <c r="R98" s="139">
        <f t="shared" si="232"/>
        <v>0.22827922687183336</v>
      </c>
      <c r="S98" s="139">
        <f t="shared" si="232"/>
        <v>0.24037766751770318</v>
      </c>
      <c r="T98" s="139">
        <f t="shared" si="232"/>
        <v>0.23340821866516895</v>
      </c>
      <c r="U98" s="139">
        <f>+U90/(U92-U94)</f>
        <v>0.23731932848550139</v>
      </c>
      <c r="V98" s="139">
        <f t="shared" si="232"/>
        <v>0.23731932848550139</v>
      </c>
      <c r="W98" s="139">
        <f t="shared" si="232"/>
        <v>0.232278179534924</v>
      </c>
      <c r="X98" s="139">
        <f t="shared" si="232"/>
        <v>0.22838373928251504</v>
      </c>
      <c r="Y98" s="139">
        <f t="shared" si="232"/>
        <v>0.23229389149935925</v>
      </c>
      <c r="Z98" s="139">
        <f>+Z90/(Z92-Z94)</f>
        <v>0.23065243796633697</v>
      </c>
      <c r="AA98" s="139">
        <f t="shared" ref="AA98:AB98" si="233">+AA90/(AA92-AA94)</f>
        <v>0.23065243796633697</v>
      </c>
      <c r="AB98" s="139">
        <f t="shared" si="233"/>
        <v>0.2341399032116146</v>
      </c>
      <c r="AI98" s="72"/>
      <c r="AJ98" s="72"/>
      <c r="AK98" s="72"/>
      <c r="AL98" s="72"/>
      <c r="AM98" s="72"/>
      <c r="AN98" s="72"/>
      <c r="AO98" s="72"/>
      <c r="AP98" s="72"/>
      <c r="AQ98" s="72"/>
    </row>
    <row r="99" spans="2:43">
      <c r="B99" s="16" t="s">
        <v>53</v>
      </c>
      <c r="C99" s="66"/>
      <c r="D99" s="66"/>
      <c r="E99" s="66"/>
      <c r="F99" s="66"/>
      <c r="G99" s="66"/>
      <c r="H99" s="66"/>
      <c r="I99" s="66"/>
      <c r="L99" s="66"/>
      <c r="Q99" s="66"/>
      <c r="V99" s="66"/>
      <c r="AA99" s="66"/>
      <c r="AB99" s="66"/>
    </row>
    <row r="100" spans="2:43">
      <c r="B100" s="28"/>
      <c r="C100" s="28"/>
      <c r="D100" s="28"/>
      <c r="E100" s="28"/>
      <c r="F100" s="28"/>
      <c r="G100" s="28"/>
      <c r="H100" s="28"/>
      <c r="I100" s="28"/>
      <c r="L100" s="28"/>
      <c r="Q100" s="28"/>
      <c r="V100" s="28"/>
      <c r="AA100" s="28"/>
      <c r="AB100" s="28"/>
    </row>
    <row r="101" spans="2:43">
      <c r="B101" s="73"/>
      <c r="I101" s="73"/>
    </row>
    <row r="102" spans="2:43">
      <c r="B102" s="19" t="s">
        <v>192</v>
      </c>
      <c r="C102" s="7" t="s">
        <v>185</v>
      </c>
      <c r="D102" s="7" t="s">
        <v>194</v>
      </c>
      <c r="E102" s="7" t="s">
        <v>199</v>
      </c>
      <c r="F102" s="7" t="s">
        <v>201</v>
      </c>
      <c r="G102" s="7" t="s">
        <v>202</v>
      </c>
      <c r="H102" s="7" t="s">
        <v>205</v>
      </c>
      <c r="I102" s="7" t="s">
        <v>218</v>
      </c>
      <c r="J102" s="7" t="s">
        <v>221</v>
      </c>
      <c r="K102" s="7" t="s">
        <v>223</v>
      </c>
      <c r="L102" s="7" t="s">
        <v>224</v>
      </c>
      <c r="M102" s="7" t="s">
        <v>226</v>
      </c>
      <c r="N102" s="7" t="s">
        <v>228</v>
      </c>
      <c r="O102" s="7" t="str">
        <f>O3</f>
        <v>Kv3 2023</v>
      </c>
      <c r="P102" s="7" t="str">
        <f>P3</f>
        <v>Kv4 2023</v>
      </c>
      <c r="Q102" s="7" t="s">
        <v>241</v>
      </c>
      <c r="R102" s="7" t="s">
        <v>242</v>
      </c>
      <c r="S102" s="7" t="str">
        <f>+S88</f>
        <v>Kv2 2024</v>
      </c>
      <c r="T102" s="7" t="str">
        <f>+T88</f>
        <v>Kv3 2024</v>
      </c>
      <c r="U102" s="7" t="str">
        <f>+U88</f>
        <v>Kv4 2024</v>
      </c>
      <c r="V102" s="7" t="str">
        <f>+$V$3</f>
        <v>12M 2024</v>
      </c>
      <c r="W102" s="7" t="str">
        <f>+$W$3</f>
        <v>Kv1 2025</v>
      </c>
      <c r="X102" s="7" t="str">
        <f>+X88</f>
        <v>Kv2 2025</v>
      </c>
      <c r="Y102" s="7" t="str">
        <f>+Y88</f>
        <v>Kv3 2025</v>
      </c>
      <c r="Z102" s="7" t="str">
        <f>+Z88</f>
        <v>Kv4 2025</v>
      </c>
      <c r="AA102" s="7" t="str">
        <f>+$AA$3</f>
        <v>12M 2025</v>
      </c>
      <c r="AB102" s="7" t="str">
        <f>+$AB$3</f>
        <v>Kv1 2026</v>
      </c>
    </row>
    <row r="103" spans="2:43">
      <c r="B103" s="11" t="s">
        <v>54</v>
      </c>
      <c r="C103" s="20">
        <v>21293</v>
      </c>
      <c r="D103" s="20">
        <v>22387</v>
      </c>
      <c r="E103" s="20">
        <v>23182</v>
      </c>
      <c r="F103" s="20">
        <v>23789</v>
      </c>
      <c r="G103" s="20">
        <f>G4</f>
        <v>23789</v>
      </c>
      <c r="H103" s="20">
        <f>D4+E4+F4+H4</f>
        <v>25062</v>
      </c>
      <c r="I103" s="20">
        <f>E4+F4+H4+I4</f>
        <v>26334</v>
      </c>
      <c r="J103" s="20">
        <f>F4+H4+I4+J4</f>
        <v>27998</v>
      </c>
      <c r="K103" s="20">
        <f>H4+I4+J4+K4</f>
        <v>30095</v>
      </c>
      <c r="L103" s="20">
        <f>L4</f>
        <v>30095</v>
      </c>
      <c r="M103" s="20">
        <f>I4+J4+K4+M4</f>
        <v>31711</v>
      </c>
      <c r="N103" s="98">
        <f>J4+K4+M4+N4</f>
        <v>33056</v>
      </c>
      <c r="O103" s="98">
        <f>K4+M4+N4+O4</f>
        <v>33978</v>
      </c>
      <c r="P103" s="98">
        <f>M4+N4+O4+P4</f>
        <v>34286</v>
      </c>
      <c r="Q103" s="20">
        <f>Q4</f>
        <v>34286</v>
      </c>
      <c r="R103" s="20">
        <f>N4+O4+P4+R4</f>
        <v>33809</v>
      </c>
      <c r="S103" s="98">
        <f>O4+P4+R4+S4</f>
        <v>33824</v>
      </c>
      <c r="T103" s="98">
        <f>P4+R4+S4+T4</f>
        <v>33808</v>
      </c>
      <c r="U103" s="98">
        <f>R4+S4+T4+U4</f>
        <v>34170</v>
      </c>
      <c r="V103" s="20">
        <f>V4</f>
        <v>34170</v>
      </c>
      <c r="W103" s="20">
        <f>S4+T4+U4+W4</f>
        <v>34802</v>
      </c>
      <c r="X103" s="20">
        <f>T4+U4+W4+X4</f>
        <v>34642</v>
      </c>
      <c r="Y103" s="20">
        <f>U4+W4+X4+Y4</f>
        <v>34732</v>
      </c>
      <c r="Z103" s="98">
        <f>W4+X4+Y4+Z4</f>
        <v>34329</v>
      </c>
      <c r="AA103" s="20">
        <f>AA4</f>
        <v>34329</v>
      </c>
      <c r="AB103" s="20">
        <f>X4+Y4+Z4+AB4</f>
        <v>34069</v>
      </c>
    </row>
    <row r="104" spans="2:43">
      <c r="B104" s="11" t="s">
        <v>55</v>
      </c>
      <c r="C104" s="20">
        <f t="shared" ref="C104:U104" si="234">+C92</f>
        <v>25987</v>
      </c>
      <c r="D104" s="20">
        <f t="shared" si="234"/>
        <v>25481</v>
      </c>
      <c r="E104" s="20">
        <f t="shared" si="234"/>
        <v>25437</v>
      </c>
      <c r="F104" s="20">
        <f t="shared" si="234"/>
        <v>25722</v>
      </c>
      <c r="G104" s="20">
        <f t="shared" si="234"/>
        <v>25722</v>
      </c>
      <c r="H104" s="20">
        <f t="shared" si="234"/>
        <v>26379</v>
      </c>
      <c r="I104" s="20">
        <f t="shared" si="234"/>
        <v>27327</v>
      </c>
      <c r="J104" s="20">
        <f t="shared" si="234"/>
        <v>28604</v>
      </c>
      <c r="K104" s="20">
        <f t="shared" si="234"/>
        <v>31577</v>
      </c>
      <c r="L104" s="20">
        <f t="shared" si="234"/>
        <v>31577</v>
      </c>
      <c r="M104" s="20">
        <f t="shared" si="234"/>
        <v>35054</v>
      </c>
      <c r="N104" s="20">
        <f t="shared" si="234"/>
        <v>38491</v>
      </c>
      <c r="O104" s="20">
        <f t="shared" si="234"/>
        <v>41630</v>
      </c>
      <c r="P104" s="20">
        <f t="shared" si="234"/>
        <v>42703</v>
      </c>
      <c r="Q104" s="20">
        <f t="shared" si="234"/>
        <v>42703</v>
      </c>
      <c r="R104" s="20">
        <f t="shared" si="234"/>
        <v>42824</v>
      </c>
      <c r="S104" s="20">
        <f t="shared" si="234"/>
        <v>42444</v>
      </c>
      <c r="T104" s="20">
        <f t="shared" si="234"/>
        <v>43680</v>
      </c>
      <c r="U104" s="20">
        <f t="shared" si="234"/>
        <v>45552</v>
      </c>
      <c r="V104" s="20">
        <f t="shared" ref="V104" si="235">+V92</f>
        <v>45552</v>
      </c>
      <c r="W104" s="20">
        <f>+W92</f>
        <v>47269</v>
      </c>
      <c r="X104" s="20">
        <f>+X92</f>
        <v>47951</v>
      </c>
      <c r="Y104" s="20">
        <f>+Y92</f>
        <v>47751</v>
      </c>
      <c r="Z104" s="20">
        <f>+Z92</f>
        <v>46924</v>
      </c>
      <c r="AA104" s="20">
        <f t="shared" ref="AA104:AB104" si="236">+AA92</f>
        <v>46924</v>
      </c>
      <c r="AB104" s="20">
        <f t="shared" si="236"/>
        <v>46136</v>
      </c>
    </row>
    <row r="105" spans="2:43" s="135" customFormat="1">
      <c r="B105" s="136" t="s">
        <v>33</v>
      </c>
      <c r="C105" s="137">
        <f t="shared" ref="C105:J105" si="237">C103/C104</f>
        <v>0.81937122407357521</v>
      </c>
      <c r="D105" s="137">
        <f t="shared" si="237"/>
        <v>0.878576194026922</v>
      </c>
      <c r="E105" s="137">
        <f t="shared" si="237"/>
        <v>0.91134960883752014</v>
      </c>
      <c r="F105" s="137">
        <f t="shared" si="237"/>
        <v>0.92485032268097345</v>
      </c>
      <c r="G105" s="137">
        <f t="shared" si="237"/>
        <v>0.92485032268097345</v>
      </c>
      <c r="H105" s="137">
        <f t="shared" si="237"/>
        <v>0.95007392243830324</v>
      </c>
      <c r="I105" s="137">
        <f t="shared" si="237"/>
        <v>0.96366231199912178</v>
      </c>
      <c r="J105" s="137">
        <f t="shared" si="237"/>
        <v>0.97881415186687182</v>
      </c>
      <c r="K105" s="137">
        <f t="shared" ref="K105:L105" si="238">K103/K104</f>
        <v>0.95306710580485798</v>
      </c>
      <c r="L105" s="137">
        <f t="shared" si="238"/>
        <v>0.95306710580485798</v>
      </c>
      <c r="M105" s="137">
        <f t="shared" ref="M105:N105" si="239">M103/M104</f>
        <v>0.90463285217093625</v>
      </c>
      <c r="N105" s="137">
        <f t="shared" si="239"/>
        <v>0.85879816060897352</v>
      </c>
      <c r="O105" s="137">
        <f t="shared" ref="O105" si="240">O103/O104</f>
        <v>0.81619024741772761</v>
      </c>
      <c r="P105" s="137">
        <f t="shared" ref="P105" si="241">P103/P104</f>
        <v>0.8028944102287896</v>
      </c>
      <c r="Q105" s="137">
        <f>Q103/Q104</f>
        <v>0.8028944102287896</v>
      </c>
      <c r="R105" s="137">
        <f t="shared" ref="R105:S105" si="242">R103/R104</f>
        <v>0.78948720343732481</v>
      </c>
      <c r="S105" s="137">
        <f t="shared" si="242"/>
        <v>0.79690886815568751</v>
      </c>
      <c r="T105" s="137">
        <f t="shared" ref="T105:U105" si="243">T103/T104</f>
        <v>0.77399267399267402</v>
      </c>
      <c r="U105" s="137">
        <f t="shared" si="243"/>
        <v>0.75013171759747099</v>
      </c>
      <c r="V105" s="137">
        <f>V103/V104</f>
        <v>0.75013171759747099</v>
      </c>
      <c r="W105" s="137">
        <f>W103/W104</f>
        <v>0.73625420465844427</v>
      </c>
      <c r="X105" s="137">
        <f>X103/X104</f>
        <v>0.7224458301182457</v>
      </c>
      <c r="Y105" s="137">
        <f>Y103/Y104</f>
        <v>0.72735649515193401</v>
      </c>
      <c r="Z105" s="137">
        <f t="shared" ref="Z105" si="244">Z103/Z104</f>
        <v>0.73158724746398429</v>
      </c>
      <c r="AA105" s="137">
        <f>AA103/AA104</f>
        <v>0.73158724746398429</v>
      </c>
      <c r="AB105" s="137">
        <f>AB103/AB104</f>
        <v>0.73844719958383909</v>
      </c>
    </row>
    <row r="106" spans="2:43">
      <c r="B106" s="16" t="s">
        <v>56</v>
      </c>
      <c r="C106" s="66"/>
      <c r="D106" s="66"/>
      <c r="E106" s="66"/>
      <c r="F106" s="66"/>
      <c r="G106" s="66"/>
      <c r="H106" s="66"/>
      <c r="I106" s="66"/>
      <c r="L106" s="66"/>
      <c r="Q106" s="66"/>
      <c r="V106" s="66"/>
      <c r="AA106" s="66"/>
      <c r="AB106" s="66"/>
    </row>
    <row r="107" spans="2:43">
      <c r="B107" s="52"/>
      <c r="C107" s="20"/>
      <c r="D107" s="20"/>
      <c r="E107" s="20"/>
      <c r="F107" s="20"/>
      <c r="G107" s="20"/>
      <c r="H107" s="20"/>
      <c r="I107" s="20"/>
      <c r="J107" s="20"/>
      <c r="K107" s="20"/>
      <c r="L107" s="20"/>
      <c r="M107" s="20"/>
      <c r="N107" s="98"/>
      <c r="O107" s="98"/>
      <c r="P107" s="98"/>
      <c r="Q107" s="98"/>
      <c r="V107" s="98"/>
      <c r="AA107" s="98"/>
      <c r="AB107" s="98"/>
    </row>
    <row r="108" spans="2:43">
      <c r="B108" s="73"/>
      <c r="C108" s="72"/>
      <c r="D108" s="72"/>
      <c r="E108" s="72"/>
      <c r="F108" s="72"/>
      <c r="G108" s="72"/>
      <c r="H108" s="72"/>
      <c r="I108" s="72"/>
      <c r="J108" s="72"/>
      <c r="K108" s="72"/>
      <c r="L108" s="72"/>
      <c r="M108" s="72"/>
      <c r="N108" s="72"/>
      <c r="O108" s="72"/>
      <c r="P108" s="72"/>
      <c r="Q108" s="72"/>
      <c r="V108" s="72"/>
      <c r="AA108" s="72"/>
      <c r="AB108" s="72"/>
    </row>
    <row r="109" spans="2:43">
      <c r="B109" s="19" t="s">
        <v>193</v>
      </c>
      <c r="C109" s="7" t="s">
        <v>185</v>
      </c>
      <c r="D109" s="7" t="s">
        <v>194</v>
      </c>
      <c r="E109" s="7" t="s">
        <v>199</v>
      </c>
      <c r="F109" s="7" t="s">
        <v>201</v>
      </c>
      <c r="G109" s="7" t="s">
        <v>202</v>
      </c>
      <c r="H109" s="7" t="s">
        <v>205</v>
      </c>
      <c r="I109" s="7" t="s">
        <v>218</v>
      </c>
      <c r="J109" s="7" t="s">
        <v>221</v>
      </c>
      <c r="K109" s="7" t="s">
        <v>223</v>
      </c>
      <c r="L109" s="7" t="s">
        <v>224</v>
      </c>
      <c r="M109" s="7" t="s">
        <v>226</v>
      </c>
      <c r="N109" s="7" t="s">
        <v>228</v>
      </c>
      <c r="O109" s="7" t="str">
        <f>O3</f>
        <v>Kv3 2023</v>
      </c>
      <c r="P109" s="7" t="str">
        <f>P3</f>
        <v>Kv4 2023</v>
      </c>
      <c r="Q109" s="7" t="s">
        <v>241</v>
      </c>
      <c r="R109" s="7" t="s">
        <v>242</v>
      </c>
      <c r="S109" s="7" t="str">
        <f>+S102</f>
        <v>Kv2 2024</v>
      </c>
      <c r="T109" s="7" t="str">
        <f>+T102</f>
        <v>Kv3 2024</v>
      </c>
      <c r="U109" s="7" t="str">
        <f>+U102</f>
        <v>Kv4 2024</v>
      </c>
      <c r="V109" s="7" t="str">
        <f>+$V$3</f>
        <v>12M 2024</v>
      </c>
      <c r="W109" s="7" t="str">
        <f>+$W$3</f>
        <v>Kv1 2025</v>
      </c>
      <c r="X109" s="7" t="str">
        <f>+X102</f>
        <v>Kv2 2025</v>
      </c>
      <c r="Y109" s="7" t="str">
        <f>+Y102</f>
        <v>Kv3 2025</v>
      </c>
      <c r="Z109" s="7" t="str">
        <f>+Z102</f>
        <v>Kv4 2025</v>
      </c>
      <c r="AA109" s="7" t="str">
        <f>+$AA$3</f>
        <v>12M 2025</v>
      </c>
      <c r="AB109" s="7" t="str">
        <f>+AB102</f>
        <v>Kv1 2026</v>
      </c>
    </row>
    <row r="110" spans="2:43">
      <c r="B110" s="11" t="s">
        <v>279</v>
      </c>
      <c r="C110" s="20">
        <v>3119</v>
      </c>
      <c r="D110" s="20">
        <v>3481</v>
      </c>
      <c r="E110" s="20">
        <v>3755</v>
      </c>
      <c r="F110" s="20">
        <v>3861</v>
      </c>
      <c r="G110" s="20">
        <v>3861</v>
      </c>
      <c r="H110" s="20">
        <v>4154</v>
      </c>
      <c r="I110" s="20">
        <v>4674</v>
      </c>
      <c r="J110" s="20">
        <v>5074</v>
      </c>
      <c r="K110" s="20">
        <v>5493</v>
      </c>
      <c r="L110" s="20">
        <v>5493</v>
      </c>
      <c r="M110" s="20">
        <v>5590</v>
      </c>
      <c r="N110" s="98">
        <v>11362</v>
      </c>
      <c r="O110" s="98">
        <v>11052</v>
      </c>
      <c r="P110" s="98">
        <v>10686</v>
      </c>
      <c r="Q110" s="20">
        <v>10686</v>
      </c>
      <c r="R110" s="20">
        <v>10282</v>
      </c>
      <c r="S110" s="20">
        <v>4032</v>
      </c>
      <c r="T110" s="98">
        <v>3934</v>
      </c>
      <c r="U110" s="98">
        <v>3978</v>
      </c>
      <c r="V110" s="20">
        <f>+U110</f>
        <v>3978</v>
      </c>
      <c r="W110" s="20">
        <v>3946</v>
      </c>
      <c r="X110" s="20">
        <v>3858</v>
      </c>
      <c r="Y110" s="20">
        <v>3919</v>
      </c>
      <c r="Z110" s="98">
        <v>3899</v>
      </c>
      <c r="AA110" s="20">
        <f t="shared" ref="AA110:AA112" si="245">+Z110</f>
        <v>3899</v>
      </c>
      <c r="AB110" s="20">
        <v>3920</v>
      </c>
    </row>
    <row r="111" spans="2:43">
      <c r="B111" s="11" t="s">
        <v>113</v>
      </c>
      <c r="C111" s="20">
        <v>31018</v>
      </c>
      <c r="D111" s="20">
        <v>30372</v>
      </c>
      <c r="E111" s="20">
        <v>31717</v>
      </c>
      <c r="F111" s="20">
        <v>32991</v>
      </c>
      <c r="G111" s="20">
        <v>32991</v>
      </c>
      <c r="H111" s="20">
        <v>34714</v>
      </c>
      <c r="I111" s="20">
        <v>35352</v>
      </c>
      <c r="J111" s="20">
        <v>36946</v>
      </c>
      <c r="K111" s="20">
        <v>37482</v>
      </c>
      <c r="L111" s="20">
        <v>37482</v>
      </c>
      <c r="M111" s="20">
        <v>38574</v>
      </c>
      <c r="N111" s="98">
        <v>44388</v>
      </c>
      <c r="O111" s="98">
        <v>43838</v>
      </c>
      <c r="P111" s="98">
        <v>41722</v>
      </c>
      <c r="Q111" s="20">
        <v>41722</v>
      </c>
      <c r="R111" s="20">
        <v>43067</v>
      </c>
      <c r="S111" s="20">
        <v>41253</v>
      </c>
      <c r="T111" s="98">
        <v>40435</v>
      </c>
      <c r="U111" s="98">
        <v>41565</v>
      </c>
      <c r="V111" s="20">
        <f>+U111</f>
        <v>41565</v>
      </c>
      <c r="W111" s="20">
        <v>38904</v>
      </c>
      <c r="X111" s="20">
        <v>36812</v>
      </c>
      <c r="Y111" s="20">
        <v>36847</v>
      </c>
      <c r="Z111" s="98">
        <v>36494</v>
      </c>
      <c r="AA111" s="20">
        <f t="shared" si="245"/>
        <v>36494</v>
      </c>
      <c r="AB111" s="20">
        <v>37928</v>
      </c>
    </row>
    <row r="112" spans="2:43">
      <c r="B112" s="11" t="s">
        <v>114</v>
      </c>
      <c r="C112" s="20">
        <v>30886</v>
      </c>
      <c r="D112" s="20">
        <v>29992</v>
      </c>
      <c r="E112" s="20">
        <v>30797.5</v>
      </c>
      <c r="F112" s="20">
        <v>30968</v>
      </c>
      <c r="G112" s="20">
        <v>30968</v>
      </c>
      <c r="H112" s="20">
        <f t="shared" ref="H112" si="246">(H111+C111)/2</f>
        <v>32866</v>
      </c>
      <c r="I112" s="20">
        <f t="shared" ref="I112" si="247">(I111+D111)/2</f>
        <v>32862</v>
      </c>
      <c r="J112" s="20">
        <f t="shared" ref="J112:S112" si="248">(J111+E111)/2</f>
        <v>34331.5</v>
      </c>
      <c r="K112" s="20">
        <f t="shared" si="248"/>
        <v>35236.5</v>
      </c>
      <c r="L112" s="20">
        <f t="shared" si="248"/>
        <v>35236.5</v>
      </c>
      <c r="M112" s="20">
        <f t="shared" si="248"/>
        <v>36644</v>
      </c>
      <c r="N112" s="98">
        <f t="shared" si="248"/>
        <v>39870</v>
      </c>
      <c r="O112" s="98">
        <f t="shared" si="248"/>
        <v>40392</v>
      </c>
      <c r="P112" s="98">
        <f t="shared" si="248"/>
        <v>39602</v>
      </c>
      <c r="Q112" s="20">
        <f>(Q111+L111)/2</f>
        <v>39602</v>
      </c>
      <c r="R112" s="20">
        <f t="shared" si="248"/>
        <v>40820.5</v>
      </c>
      <c r="S112" s="20">
        <f t="shared" si="248"/>
        <v>42820.5</v>
      </c>
      <c r="T112" s="98">
        <f>(T111+O111)/2</f>
        <v>42136.5</v>
      </c>
      <c r="U112" s="98">
        <f>(U111+P111)/2</f>
        <v>41643.5</v>
      </c>
      <c r="V112" s="20">
        <f>+U112</f>
        <v>41643.5</v>
      </c>
      <c r="W112" s="20">
        <f t="shared" ref="W112:X112" si="249">(W111+R111)/2</f>
        <v>40985.5</v>
      </c>
      <c r="X112" s="20">
        <f t="shared" si="249"/>
        <v>39032.5</v>
      </c>
      <c r="Y112" s="20">
        <f>(Y111+T111)/2</f>
        <v>38641</v>
      </c>
      <c r="Z112" s="98">
        <f>(Z111+U111)/2</f>
        <v>39029.5</v>
      </c>
      <c r="AA112" s="20">
        <f t="shared" si="245"/>
        <v>39029.5</v>
      </c>
      <c r="AB112" s="20">
        <f t="shared" ref="AB112" si="250">(AB111+W111)/2</f>
        <v>38416</v>
      </c>
    </row>
    <row r="113" spans="2:28" s="140" customFormat="1">
      <c r="B113" s="141" t="s">
        <v>115</v>
      </c>
      <c r="C113" s="142">
        <f t="shared" ref="C113:J113" si="251">C110/C112</f>
        <v>0.10098426471540503</v>
      </c>
      <c r="D113" s="142">
        <f t="shared" si="251"/>
        <v>0.11606428380901573</v>
      </c>
      <c r="E113" s="142">
        <f t="shared" si="251"/>
        <v>0.12192548096436399</v>
      </c>
      <c r="F113" s="142">
        <f t="shared" si="251"/>
        <v>0.12467708602428314</v>
      </c>
      <c r="G113" s="142">
        <f t="shared" si="251"/>
        <v>0.12467708602428314</v>
      </c>
      <c r="H113" s="142">
        <f t="shared" si="251"/>
        <v>0.12639201606523459</v>
      </c>
      <c r="I113" s="142">
        <f t="shared" si="251"/>
        <v>0.14223114843892642</v>
      </c>
      <c r="J113" s="142">
        <f t="shared" si="251"/>
        <v>0.14779429969561481</v>
      </c>
      <c r="K113" s="142">
        <f t="shared" ref="K113:L113" si="252">K110/K112</f>
        <v>0.15588948959175855</v>
      </c>
      <c r="L113" s="142">
        <f t="shared" si="252"/>
        <v>0.15588948959175855</v>
      </c>
      <c r="M113" s="142">
        <f t="shared" ref="M113:N113" si="253">M110/M112</f>
        <v>0.15254884837899793</v>
      </c>
      <c r="N113" s="142">
        <f t="shared" si="253"/>
        <v>0.28497617256082269</v>
      </c>
      <c r="O113" s="142">
        <f t="shared" ref="O113" si="254">O110/O112</f>
        <v>0.27361853832442068</v>
      </c>
      <c r="P113" s="142">
        <f t="shared" ref="P113:R113" si="255">P110/P112</f>
        <v>0.26983485682541286</v>
      </c>
      <c r="Q113" s="142">
        <f t="shared" si="255"/>
        <v>0.26983485682541286</v>
      </c>
      <c r="R113" s="142">
        <f t="shared" si="255"/>
        <v>0.25188324493820508</v>
      </c>
      <c r="S113" s="142">
        <f t="shared" ref="S113" si="256">S110/S112</f>
        <v>9.4160507233684798E-2</v>
      </c>
      <c r="T113" s="142">
        <f>T110/T112</f>
        <v>9.3363236149181822E-2</v>
      </c>
      <c r="U113" s="142">
        <f>U110/U112</f>
        <v>9.5525111962251011E-2</v>
      </c>
      <c r="V113" s="142">
        <f t="shared" ref="V113:W113" si="257">V110/V112</f>
        <v>9.5525111962251011E-2</v>
      </c>
      <c r="W113" s="142">
        <f t="shared" si="257"/>
        <v>9.6277951958619518E-2</v>
      </c>
      <c r="X113" s="142">
        <f t="shared" ref="X113" si="258">X110/X112</f>
        <v>9.8840709665022744E-2</v>
      </c>
      <c r="Y113" s="142">
        <f>Y110/Y112</f>
        <v>0.10142077068398851</v>
      </c>
      <c r="Z113" s="142">
        <f>Z110/Z112</f>
        <v>9.9898794501594945E-2</v>
      </c>
      <c r="AA113" s="142">
        <f t="shared" ref="AA113:AB113" si="259">AA110/AA112</f>
        <v>9.9898794501594945E-2</v>
      </c>
      <c r="AB113" s="142">
        <f t="shared" si="259"/>
        <v>0.10204081632653061</v>
      </c>
    </row>
    <row r="114" spans="2:28">
      <c r="B114" s="11" t="s">
        <v>280</v>
      </c>
      <c r="C114" s="20">
        <v>2989</v>
      </c>
      <c r="D114" s="20">
        <v>3409</v>
      </c>
      <c r="E114" s="20">
        <v>3625</v>
      </c>
      <c r="F114" s="20">
        <v>3717</v>
      </c>
      <c r="G114" s="20">
        <v>3717</v>
      </c>
      <c r="H114" s="20">
        <v>3916</v>
      </c>
      <c r="I114" s="20">
        <v>4440</v>
      </c>
      <c r="J114" s="20">
        <v>4816</v>
      </c>
      <c r="K114" s="20">
        <v>5260</v>
      </c>
      <c r="L114" s="20">
        <v>5260</v>
      </c>
      <c r="M114" s="20">
        <v>5319</v>
      </c>
      <c r="N114" s="98">
        <v>10829</v>
      </c>
      <c r="O114" s="98">
        <v>10491</v>
      </c>
      <c r="P114" s="98">
        <v>10074</v>
      </c>
      <c r="Q114" s="98">
        <v>10074</v>
      </c>
      <c r="R114" s="20">
        <v>9692</v>
      </c>
      <c r="S114" s="20">
        <v>3653</v>
      </c>
      <c r="T114" s="98">
        <v>3584</v>
      </c>
      <c r="U114" s="98">
        <v>3736</v>
      </c>
      <c r="V114" s="98">
        <f>+U114</f>
        <v>3736</v>
      </c>
      <c r="W114" s="20">
        <v>3699</v>
      </c>
      <c r="X114" s="20">
        <v>3632</v>
      </c>
      <c r="Y114" s="20">
        <v>3691</v>
      </c>
      <c r="Z114" s="98">
        <v>3596</v>
      </c>
      <c r="AA114" s="98">
        <f>+Z114</f>
        <v>3596</v>
      </c>
      <c r="AB114" s="98">
        <v>3632</v>
      </c>
    </row>
    <row r="115" spans="2:28">
      <c r="B115" s="11" t="s">
        <v>113</v>
      </c>
      <c r="C115" s="20">
        <f t="shared" ref="C115:Q115" si="260">+C111</f>
        <v>31018</v>
      </c>
      <c r="D115" s="20">
        <f t="shared" si="260"/>
        <v>30372</v>
      </c>
      <c r="E115" s="20">
        <f t="shared" si="260"/>
        <v>31717</v>
      </c>
      <c r="F115" s="20">
        <f t="shared" si="260"/>
        <v>32991</v>
      </c>
      <c r="G115" s="20">
        <f t="shared" si="260"/>
        <v>32991</v>
      </c>
      <c r="H115" s="20">
        <f t="shared" si="260"/>
        <v>34714</v>
      </c>
      <c r="I115" s="20">
        <f t="shared" si="260"/>
        <v>35352</v>
      </c>
      <c r="J115" s="20">
        <f t="shared" si="260"/>
        <v>36946</v>
      </c>
      <c r="K115" s="20">
        <f t="shared" si="260"/>
        <v>37482</v>
      </c>
      <c r="L115" s="20">
        <f t="shared" si="260"/>
        <v>37482</v>
      </c>
      <c r="M115" s="20">
        <f t="shared" si="260"/>
        <v>38574</v>
      </c>
      <c r="N115" s="20">
        <f t="shared" si="260"/>
        <v>44388</v>
      </c>
      <c r="O115" s="20">
        <f t="shared" si="260"/>
        <v>43838</v>
      </c>
      <c r="P115" s="20">
        <f t="shared" si="260"/>
        <v>41722</v>
      </c>
      <c r="Q115" s="20">
        <f t="shared" si="260"/>
        <v>41722</v>
      </c>
      <c r="R115" s="20">
        <f>+R111</f>
        <v>43067</v>
      </c>
      <c r="S115" s="20">
        <f>+S111</f>
        <v>41253</v>
      </c>
      <c r="T115" s="98">
        <f>+T111</f>
        <v>40435</v>
      </c>
      <c r="U115" s="98">
        <f>+U111</f>
        <v>41565</v>
      </c>
      <c r="V115" s="20">
        <f t="shared" ref="V115" si="261">+V111</f>
        <v>41565</v>
      </c>
      <c r="W115" s="20">
        <f>+W111</f>
        <v>38904</v>
      </c>
      <c r="X115" s="20">
        <f>+X111</f>
        <v>36812</v>
      </c>
      <c r="Y115" s="20">
        <f>+Y111</f>
        <v>36847</v>
      </c>
      <c r="Z115" s="98">
        <f>+Z111</f>
        <v>36494</v>
      </c>
      <c r="AA115" s="20">
        <f t="shared" ref="AA115" si="262">+AA111</f>
        <v>36494</v>
      </c>
      <c r="AB115" s="20">
        <f>+AB111</f>
        <v>37928</v>
      </c>
    </row>
    <row r="116" spans="2:28">
      <c r="B116" s="11" t="s">
        <v>114</v>
      </c>
      <c r="C116" s="20">
        <v>30886</v>
      </c>
      <c r="D116" s="20">
        <v>29992</v>
      </c>
      <c r="E116" s="20">
        <v>30797.5</v>
      </c>
      <c r="F116" s="20">
        <v>30968</v>
      </c>
      <c r="G116" s="20">
        <v>30968</v>
      </c>
      <c r="H116" s="20">
        <f t="shared" ref="H116:S116" si="263">(H115+C115)/2</f>
        <v>32866</v>
      </c>
      <c r="I116" s="20">
        <f t="shared" si="263"/>
        <v>32862</v>
      </c>
      <c r="J116" s="20">
        <f t="shared" si="263"/>
        <v>34331.5</v>
      </c>
      <c r="K116" s="20">
        <f t="shared" si="263"/>
        <v>35236.5</v>
      </c>
      <c r="L116" s="20">
        <f t="shared" si="263"/>
        <v>35236.5</v>
      </c>
      <c r="M116" s="20">
        <f t="shared" si="263"/>
        <v>36644</v>
      </c>
      <c r="N116" s="98">
        <f t="shared" si="263"/>
        <v>39870</v>
      </c>
      <c r="O116" s="98">
        <f t="shared" si="263"/>
        <v>40392</v>
      </c>
      <c r="P116" s="98">
        <f t="shared" si="263"/>
        <v>39602</v>
      </c>
      <c r="Q116" s="20">
        <f t="shared" si="263"/>
        <v>39602</v>
      </c>
      <c r="R116" s="98">
        <f t="shared" si="263"/>
        <v>40820.5</v>
      </c>
      <c r="S116" s="98">
        <f t="shared" si="263"/>
        <v>42820.5</v>
      </c>
      <c r="T116" s="98">
        <f>(T115+O115)/2</f>
        <v>42136.5</v>
      </c>
      <c r="U116" s="98">
        <f>(U115+P115)/2</f>
        <v>41643.5</v>
      </c>
      <c r="V116" s="20">
        <f t="shared" ref="V116:Y116" si="264">(V115+Q115)/2</f>
        <v>41643.5</v>
      </c>
      <c r="W116" s="98">
        <f t="shared" si="264"/>
        <v>40985.5</v>
      </c>
      <c r="X116" s="98">
        <f t="shared" si="264"/>
        <v>39032.5</v>
      </c>
      <c r="Y116" s="98">
        <f t="shared" si="264"/>
        <v>38641</v>
      </c>
      <c r="Z116" s="98">
        <f>(Z115+U115)/2</f>
        <v>39029.5</v>
      </c>
      <c r="AA116" s="20">
        <f t="shared" ref="AA116:AB116" si="265">(AA115+V115)/2</f>
        <v>39029.5</v>
      </c>
      <c r="AB116" s="98">
        <f t="shared" si="265"/>
        <v>38416</v>
      </c>
    </row>
    <row r="117" spans="2:28" s="140" customFormat="1">
      <c r="B117" s="141" t="s">
        <v>264</v>
      </c>
      <c r="C117" s="142">
        <f t="shared" ref="C117:I117" si="266">C114/C116</f>
        <v>9.6775237971896647E-2</v>
      </c>
      <c r="D117" s="142">
        <f t="shared" si="266"/>
        <v>0.11366364363830354</v>
      </c>
      <c r="E117" s="142">
        <f t="shared" si="266"/>
        <v>0.11770435912005844</v>
      </c>
      <c r="F117" s="142">
        <f t="shared" si="266"/>
        <v>0.12002712477396021</v>
      </c>
      <c r="G117" s="142">
        <f t="shared" si="266"/>
        <v>0.12002712477396021</v>
      </c>
      <c r="H117" s="142">
        <f t="shared" si="266"/>
        <v>0.11915048986794864</v>
      </c>
      <c r="I117" s="142">
        <f t="shared" si="266"/>
        <v>0.13511046193171444</v>
      </c>
      <c r="J117" s="142">
        <f t="shared" ref="J117:L117" si="267">J114/J116</f>
        <v>0.14027933530431236</v>
      </c>
      <c r="K117" s="142">
        <f t="shared" si="267"/>
        <v>0.14927702808167667</v>
      </c>
      <c r="L117" s="142">
        <f t="shared" si="267"/>
        <v>0.14927702808167667</v>
      </c>
      <c r="M117" s="142">
        <f t="shared" ref="M117:N117" si="268">M114/M116</f>
        <v>0.14515336753629515</v>
      </c>
      <c r="N117" s="142">
        <f t="shared" si="268"/>
        <v>0.27160772510659642</v>
      </c>
      <c r="O117" s="142">
        <f t="shared" ref="O117" si="269">O114/O116</f>
        <v>0.25972964943553178</v>
      </c>
      <c r="P117" s="142">
        <f t="shared" ref="P117:R117" si="270">P114/P116</f>
        <v>0.25438109186404728</v>
      </c>
      <c r="Q117" s="142">
        <f t="shared" si="270"/>
        <v>0.25438109186404728</v>
      </c>
      <c r="R117" s="142">
        <f t="shared" si="270"/>
        <v>0.2374297228108426</v>
      </c>
      <c r="S117" s="142">
        <f t="shared" ref="S117:T117" si="271">S114/S116</f>
        <v>8.5309606380121666E-2</v>
      </c>
      <c r="T117" s="142">
        <f t="shared" si="271"/>
        <v>8.5056898413489498E-2</v>
      </c>
      <c r="U117" s="142">
        <f t="shared" ref="U117:W117" si="272">U114/U116</f>
        <v>8.9713880917790298E-2</v>
      </c>
      <c r="V117" s="142">
        <f t="shared" si="272"/>
        <v>8.9713880917790298E-2</v>
      </c>
      <c r="W117" s="142">
        <f t="shared" si="272"/>
        <v>9.0251430383916267E-2</v>
      </c>
      <c r="X117" s="142">
        <f t="shared" ref="X117:AA117" si="273">X114/X116</f>
        <v>9.3050662909114193E-2</v>
      </c>
      <c r="Y117" s="142">
        <f t="shared" si="273"/>
        <v>9.5520302269610002E-2</v>
      </c>
      <c r="Z117" s="142">
        <f t="shared" si="273"/>
        <v>9.2135436016346606E-2</v>
      </c>
      <c r="AA117" s="142">
        <f t="shared" si="273"/>
        <v>9.2135436016346606E-2</v>
      </c>
      <c r="AB117" s="142">
        <f t="shared" ref="AB117" si="274">AB114/AB116</f>
        <v>9.4543940024989587E-2</v>
      </c>
    </row>
    <row r="118" spans="2:28">
      <c r="B118" s="16" t="s">
        <v>313</v>
      </c>
    </row>
    <row r="119" spans="2:28">
      <c r="C119" s="112"/>
      <c r="D119" s="112"/>
      <c r="E119" s="112"/>
      <c r="F119" s="112"/>
      <c r="G119" s="112"/>
      <c r="H119" s="112"/>
      <c r="I119" s="112"/>
      <c r="J119" s="112"/>
      <c r="K119" s="112"/>
      <c r="L119" s="112"/>
      <c r="M119" s="112"/>
      <c r="N119" s="112"/>
      <c r="O119" s="112"/>
      <c r="P119" s="112"/>
      <c r="Q119" s="112"/>
      <c r="R119" s="112"/>
      <c r="V119" s="112"/>
      <c r="W119" s="112"/>
      <c r="X119" s="112"/>
      <c r="Y119" s="112"/>
      <c r="AA119" s="112"/>
      <c r="AB119" s="112"/>
    </row>
    <row r="120" spans="2:28">
      <c r="C120" s="112"/>
      <c r="D120" s="112"/>
      <c r="E120" s="112"/>
      <c r="F120" s="112"/>
      <c r="G120" s="112"/>
      <c r="H120" s="112"/>
      <c r="I120" s="112"/>
      <c r="J120" s="112"/>
      <c r="K120" s="112"/>
      <c r="L120" s="112"/>
      <c r="M120" s="112"/>
      <c r="N120" s="112"/>
      <c r="O120" s="112"/>
      <c r="P120" s="112"/>
      <c r="Q120" s="112"/>
      <c r="R120" s="112"/>
      <c r="V120" s="112"/>
      <c r="W120" s="112"/>
      <c r="X120" s="112"/>
      <c r="Y120" s="112"/>
      <c r="AA120" s="112"/>
      <c r="AB120" s="112"/>
    </row>
    <row r="121" spans="2:28">
      <c r="C121" s="112"/>
      <c r="D121" s="112"/>
      <c r="E121" s="112"/>
      <c r="F121" s="112"/>
      <c r="G121" s="112"/>
      <c r="H121" s="112"/>
      <c r="I121" s="112"/>
      <c r="J121" s="112"/>
      <c r="K121" s="112"/>
      <c r="L121" s="112"/>
      <c r="M121" s="112"/>
      <c r="N121" s="112"/>
      <c r="O121" s="112"/>
      <c r="P121" s="112"/>
      <c r="Q121" s="112"/>
      <c r="R121" s="112"/>
      <c r="V121" s="112"/>
      <c r="W121" s="112"/>
      <c r="X121" s="112"/>
      <c r="Y121" s="112"/>
      <c r="AA121" s="112"/>
      <c r="AB121" s="112"/>
    </row>
    <row r="122" spans="2:28">
      <c r="C122" s="112"/>
      <c r="D122" s="112"/>
      <c r="E122" s="112"/>
      <c r="F122" s="112"/>
      <c r="G122" s="112"/>
      <c r="H122" s="112"/>
      <c r="I122" s="112"/>
      <c r="J122" s="112"/>
      <c r="K122" s="112"/>
      <c r="L122" s="112"/>
      <c r="M122" s="112"/>
      <c r="N122" s="112"/>
      <c r="O122" s="112"/>
      <c r="P122" s="112"/>
      <c r="Q122" s="112"/>
      <c r="R122" s="112"/>
      <c r="V122" s="112"/>
      <c r="W122" s="112"/>
      <c r="X122" s="112"/>
      <c r="Y122" s="112"/>
      <c r="AA122" s="112"/>
      <c r="AB122" s="112"/>
    </row>
    <row r="123" spans="2:28">
      <c r="C123" s="112"/>
      <c r="D123" s="112"/>
      <c r="E123" s="112"/>
      <c r="F123" s="112"/>
      <c r="G123" s="112"/>
      <c r="H123" s="112"/>
      <c r="I123" s="112"/>
      <c r="J123" s="112"/>
      <c r="K123" s="112"/>
      <c r="L123" s="112"/>
      <c r="M123" s="112"/>
      <c r="N123" s="112"/>
      <c r="O123" s="112"/>
      <c r="P123" s="112"/>
      <c r="Q123" s="112"/>
      <c r="R123" s="112"/>
      <c r="V123" s="112"/>
      <c r="W123" s="112"/>
      <c r="X123" s="112"/>
      <c r="Y123" s="112"/>
      <c r="AA123" s="112"/>
      <c r="AB123" s="112"/>
    </row>
    <row r="124" spans="2:28">
      <c r="C124" s="112"/>
      <c r="D124" s="112"/>
      <c r="E124" s="112"/>
      <c r="F124" s="112"/>
      <c r="G124" s="112"/>
      <c r="H124" s="112"/>
      <c r="I124" s="112"/>
      <c r="J124" s="112"/>
      <c r="K124" s="112"/>
      <c r="L124" s="112"/>
      <c r="M124" s="112"/>
      <c r="N124" s="112"/>
      <c r="O124" s="112"/>
      <c r="P124" s="112"/>
      <c r="Q124" s="112"/>
      <c r="R124" s="112"/>
      <c r="V124" s="112"/>
      <c r="W124" s="112"/>
      <c r="X124" s="112"/>
      <c r="Y124" s="112"/>
      <c r="AA124" s="112"/>
      <c r="AB124" s="112"/>
    </row>
    <row r="125" spans="2:28">
      <c r="C125" s="112"/>
      <c r="D125" s="112"/>
      <c r="E125" s="112"/>
      <c r="F125" s="112"/>
      <c r="G125" s="112"/>
      <c r="H125" s="112"/>
      <c r="I125" s="112"/>
      <c r="J125" s="112"/>
      <c r="K125" s="112"/>
      <c r="L125" s="112"/>
      <c r="M125" s="112"/>
      <c r="N125" s="112"/>
      <c r="O125" s="112"/>
      <c r="P125" s="112"/>
      <c r="Q125" s="112"/>
      <c r="R125" s="112"/>
      <c r="V125" s="112"/>
      <c r="W125" s="112"/>
      <c r="X125" s="112"/>
      <c r="Y125" s="112"/>
      <c r="AA125" s="112"/>
      <c r="AB125" s="112"/>
    </row>
    <row r="126" spans="2:28">
      <c r="C126" s="112"/>
      <c r="D126" s="112"/>
      <c r="E126" s="112"/>
      <c r="F126" s="112"/>
      <c r="G126" s="112"/>
      <c r="H126" s="112"/>
      <c r="I126" s="112"/>
      <c r="J126" s="112"/>
      <c r="K126" s="112"/>
      <c r="L126" s="112"/>
      <c r="M126" s="112"/>
      <c r="N126" s="112"/>
      <c r="O126" s="112"/>
      <c r="P126" s="112"/>
      <c r="Q126" s="112"/>
      <c r="R126" s="112"/>
      <c r="V126" s="112"/>
      <c r="W126" s="112"/>
      <c r="X126" s="112"/>
      <c r="Y126" s="112"/>
      <c r="AA126" s="112"/>
      <c r="AB126" s="112"/>
    </row>
    <row r="127" spans="2:28">
      <c r="C127" s="112"/>
      <c r="D127" s="112"/>
      <c r="E127" s="112"/>
      <c r="F127" s="112"/>
      <c r="G127" s="112"/>
      <c r="H127" s="112"/>
      <c r="I127" s="112"/>
      <c r="J127" s="112"/>
      <c r="K127" s="112"/>
      <c r="L127" s="112"/>
      <c r="M127" s="112"/>
      <c r="N127" s="112"/>
      <c r="O127" s="112"/>
      <c r="P127" s="112"/>
      <c r="Q127" s="112"/>
      <c r="R127" s="112"/>
      <c r="V127" s="112"/>
      <c r="W127" s="112"/>
      <c r="X127" s="112"/>
      <c r="Y127" s="112"/>
      <c r="AA127" s="112"/>
      <c r="AB127" s="112"/>
    </row>
    <row r="128" spans="2:28">
      <c r="C128" s="112"/>
      <c r="D128" s="112"/>
      <c r="E128" s="112"/>
      <c r="F128" s="112"/>
      <c r="G128" s="112"/>
      <c r="H128" s="112"/>
      <c r="I128" s="112"/>
      <c r="J128" s="112"/>
      <c r="K128" s="112"/>
      <c r="L128" s="112"/>
      <c r="M128" s="112"/>
      <c r="N128" s="112"/>
      <c r="O128" s="112"/>
      <c r="P128" s="112"/>
      <c r="Q128" s="112"/>
      <c r="R128" s="112"/>
      <c r="V128" s="112"/>
      <c r="W128" s="112"/>
      <c r="X128" s="112"/>
      <c r="Y128" s="112"/>
      <c r="AA128" s="112"/>
      <c r="AB128" s="112"/>
    </row>
    <row r="129" spans="3:28">
      <c r="C129" s="112"/>
      <c r="D129" s="112"/>
      <c r="E129" s="112"/>
      <c r="F129" s="112"/>
      <c r="G129" s="112"/>
      <c r="H129" s="112"/>
      <c r="I129" s="112"/>
      <c r="J129" s="112"/>
      <c r="K129" s="112"/>
      <c r="L129" s="112"/>
      <c r="M129" s="112"/>
      <c r="N129" s="112"/>
      <c r="O129" s="112"/>
      <c r="P129" s="112"/>
      <c r="Q129" s="112"/>
      <c r="R129" s="112"/>
      <c r="V129" s="112"/>
      <c r="W129" s="112"/>
      <c r="X129" s="112"/>
      <c r="Y129" s="112"/>
      <c r="AA129" s="112"/>
      <c r="AB129" s="112"/>
    </row>
    <row r="130" spans="3:28">
      <c r="C130" s="112"/>
      <c r="D130" s="112"/>
      <c r="E130" s="112"/>
      <c r="F130" s="112"/>
      <c r="G130" s="112"/>
      <c r="H130" s="112"/>
      <c r="I130" s="112"/>
      <c r="J130" s="112"/>
      <c r="K130" s="112"/>
      <c r="L130" s="112"/>
      <c r="M130" s="112"/>
      <c r="N130" s="112"/>
      <c r="O130" s="112"/>
      <c r="P130" s="112"/>
      <c r="Q130" s="112"/>
      <c r="R130" s="112"/>
      <c r="V130" s="112"/>
      <c r="W130" s="112"/>
      <c r="X130" s="112"/>
      <c r="Y130" s="112"/>
      <c r="AA130" s="112"/>
      <c r="AB130" s="112"/>
    </row>
  </sheetData>
  <sortState xmlns:xlrd2="http://schemas.microsoft.com/office/spreadsheetml/2017/richdata2" columnSort="1" ref="C1:I117">
    <sortCondition descending="1" ref="C1:I1"/>
  </sortState>
  <pageMargins left="0.70866141732283472" right="0.70866141732283472" top="0.74803149606299213" bottom="0.74803149606299213" header="0.31496062992125984" footer="0.31496062992125984"/>
  <pageSetup paperSize="9" scale="70" orientation="landscape" r:id="rId1"/>
  <headerFooter>
    <oddFooter>&amp;C_x000D_&amp;1#&amp;"Calibri"&amp;15&amp;K000000 Internal document</oddFooter>
  </headerFooter>
  <ignoredErrors>
    <ignoredError sqref="V6:V26 V32:V56 V99:V1048576 L63:L69 Q63:Q69 V95:V96 V60:V90 V91:V92" formula="1"/>
    <ignoredError sqref="V27:V30 V57:V59"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P681"/>
  <sheetViews>
    <sheetView topLeftCell="B1" zoomScaleNormal="100" workbookViewId="0">
      <pane xSplit="1" topLeftCell="C1" activePane="topRight" state="frozen"/>
      <selection activeCell="B1" sqref="B1"/>
      <selection pane="topRight" activeCell="B1" sqref="B1"/>
    </sheetView>
  </sheetViews>
  <sheetFormatPr defaultRowHeight="15"/>
  <cols>
    <col min="1" max="1" width="0" style="2" hidden="1" customWidth="1"/>
    <col min="2" max="2" width="45.85546875" customWidth="1"/>
    <col min="3" max="8" width="12.7109375" customWidth="1"/>
    <col min="9" max="13" width="12.7109375" style="2" customWidth="1"/>
    <col min="14" max="14" width="8.7109375" style="2" bestFit="1" customWidth="1"/>
    <col min="15" max="21" width="12.7109375" style="2" customWidth="1"/>
    <col min="22" max="23" width="12.7109375" style="155" customWidth="1"/>
    <col min="24" max="42" width="9.140625" style="2"/>
  </cols>
  <sheetData>
    <row r="1" spans="2:24" s="2" customFormat="1">
      <c r="B1" s="3" t="s">
        <v>57</v>
      </c>
      <c r="C1" s="3"/>
      <c r="D1" s="3"/>
      <c r="E1" s="3"/>
      <c r="F1" s="3"/>
      <c r="G1" s="3"/>
      <c r="H1" s="3"/>
      <c r="V1" s="155"/>
      <c r="W1" s="155"/>
    </row>
    <row r="2" spans="2:24" s="2" customFormat="1">
      <c r="B2" s="3"/>
      <c r="C2" s="3"/>
      <c r="D2" s="3"/>
      <c r="E2" s="3"/>
      <c r="F2" s="3"/>
      <c r="G2" s="3"/>
      <c r="H2" s="3"/>
      <c r="V2" s="155"/>
      <c r="W2" s="155"/>
    </row>
    <row r="3" spans="2:24">
      <c r="B3" s="29" t="s">
        <v>58</v>
      </c>
      <c r="C3" s="30" t="s">
        <v>62</v>
      </c>
      <c r="D3" s="30" t="s">
        <v>61</v>
      </c>
      <c r="E3" s="30" t="s">
        <v>60</v>
      </c>
      <c r="F3" s="30" t="s">
        <v>59</v>
      </c>
      <c r="G3" s="30" t="s">
        <v>62</v>
      </c>
      <c r="H3" s="30" t="s">
        <v>61</v>
      </c>
      <c r="I3" s="30" t="s">
        <v>60</v>
      </c>
      <c r="J3" s="30" t="s">
        <v>59</v>
      </c>
      <c r="K3" s="30" t="s">
        <v>62</v>
      </c>
      <c r="L3" s="30" t="s">
        <v>229</v>
      </c>
      <c r="M3" s="30" t="s">
        <v>238</v>
      </c>
      <c r="N3" s="30" t="s">
        <v>59</v>
      </c>
      <c r="O3" s="30" t="s">
        <v>62</v>
      </c>
      <c r="P3" s="30" t="s">
        <v>61</v>
      </c>
      <c r="Q3" s="30" t="s">
        <v>60</v>
      </c>
      <c r="R3" s="30" t="s">
        <v>59</v>
      </c>
      <c r="S3" s="30" t="s">
        <v>62</v>
      </c>
      <c r="T3" s="30" t="s">
        <v>61</v>
      </c>
      <c r="U3" s="156" t="s">
        <v>60</v>
      </c>
      <c r="V3" s="156" t="s">
        <v>59</v>
      </c>
      <c r="W3" s="156" t="s">
        <v>62</v>
      </c>
    </row>
    <row r="4" spans="2:24">
      <c r="B4" s="31"/>
      <c r="C4" s="31">
        <v>2021</v>
      </c>
      <c r="D4" s="31">
        <v>2021</v>
      </c>
      <c r="E4" s="31">
        <v>2021</v>
      </c>
      <c r="F4" s="31">
        <v>2021</v>
      </c>
      <c r="G4" s="31">
        <v>2022</v>
      </c>
      <c r="H4" s="31">
        <v>2022</v>
      </c>
      <c r="I4" s="31">
        <v>2022</v>
      </c>
      <c r="J4" s="31">
        <v>2022</v>
      </c>
      <c r="K4" s="31">
        <v>2023</v>
      </c>
      <c r="L4" s="31">
        <v>2023</v>
      </c>
      <c r="M4" s="31">
        <v>2023</v>
      </c>
      <c r="N4" s="31">
        <v>2023</v>
      </c>
      <c r="O4" s="31">
        <v>2024</v>
      </c>
      <c r="P4" s="31">
        <v>2024</v>
      </c>
      <c r="Q4" s="31">
        <v>2024</v>
      </c>
      <c r="R4" s="31">
        <v>2024</v>
      </c>
      <c r="S4" s="31">
        <v>2025</v>
      </c>
      <c r="T4" s="31">
        <v>2025</v>
      </c>
      <c r="U4" s="31">
        <v>2025</v>
      </c>
      <c r="V4" s="31">
        <v>2025</v>
      </c>
      <c r="W4" s="31">
        <v>2026</v>
      </c>
    </row>
    <row r="5" spans="2:24" s="2" customFormat="1">
      <c r="B5" s="9" t="s">
        <v>63</v>
      </c>
      <c r="C5" s="10">
        <v>9435</v>
      </c>
      <c r="D5" s="10">
        <v>9310</v>
      </c>
      <c r="E5" s="10">
        <v>9468</v>
      </c>
      <c r="F5" s="10">
        <v>10000</v>
      </c>
      <c r="G5" s="10">
        <v>6041</v>
      </c>
      <c r="H5" s="10">
        <v>6445</v>
      </c>
      <c r="I5" s="10">
        <v>6748</v>
      </c>
      <c r="J5" s="10">
        <v>7589</v>
      </c>
      <c r="K5" s="10">
        <v>7661</v>
      </c>
      <c r="L5" s="10">
        <v>7892</v>
      </c>
      <c r="M5" s="10">
        <v>7897</v>
      </c>
      <c r="N5" s="10">
        <v>7757</v>
      </c>
      <c r="O5" s="84">
        <v>8154</v>
      </c>
      <c r="P5" s="10">
        <v>8393</v>
      </c>
      <c r="Q5" s="10">
        <v>8481</v>
      </c>
      <c r="R5" s="10">
        <v>9306</v>
      </c>
      <c r="S5" s="10">
        <v>8719</v>
      </c>
      <c r="T5" s="10">
        <v>8925</v>
      </c>
      <c r="U5" s="10">
        <v>8950</v>
      </c>
      <c r="V5" s="10">
        <v>8884</v>
      </c>
      <c r="W5" s="10">
        <v>9139</v>
      </c>
      <c r="X5" s="72"/>
    </row>
    <row r="6" spans="2:24" s="2" customFormat="1">
      <c r="B6" s="9" t="s">
        <v>213</v>
      </c>
      <c r="C6" s="10">
        <v>1876</v>
      </c>
      <c r="D6" s="10">
        <v>1891</v>
      </c>
      <c r="E6" s="10">
        <v>1889</v>
      </c>
      <c r="F6" s="10">
        <f>1445+419</f>
        <v>1864</v>
      </c>
      <c r="G6" s="10">
        <v>1407</v>
      </c>
      <c r="H6" s="10">
        <v>1420</v>
      </c>
      <c r="I6" s="10">
        <v>1441</v>
      </c>
      <c r="J6" s="10">
        <v>1507</v>
      </c>
      <c r="K6" s="10">
        <v>1506</v>
      </c>
      <c r="L6" s="10">
        <v>1555</v>
      </c>
      <c r="M6" s="10">
        <v>1659</v>
      </c>
      <c r="N6" s="10">
        <v>1538</v>
      </c>
      <c r="O6" s="123">
        <v>1592</v>
      </c>
      <c r="P6" s="10">
        <v>1597</v>
      </c>
      <c r="Q6" s="10">
        <v>1679</v>
      </c>
      <c r="R6" s="10">
        <v>1758</v>
      </c>
      <c r="S6" s="10">
        <v>1617</v>
      </c>
      <c r="T6" s="10">
        <v>1631</v>
      </c>
      <c r="U6" s="10">
        <v>1592</v>
      </c>
      <c r="V6" s="10">
        <v>1572</v>
      </c>
      <c r="W6" s="10">
        <v>1652</v>
      </c>
      <c r="X6" s="72"/>
    </row>
    <row r="7" spans="2:24" s="2" customFormat="1">
      <c r="B7" s="9" t="s">
        <v>64</v>
      </c>
      <c r="C7" s="10">
        <v>18423</v>
      </c>
      <c r="D7" s="10">
        <v>18159</v>
      </c>
      <c r="E7" s="10">
        <v>18408</v>
      </c>
      <c r="F7" s="10">
        <v>18792</v>
      </c>
      <c r="G7" s="10">
        <v>13468</v>
      </c>
      <c r="H7" s="10">
        <v>14491</v>
      </c>
      <c r="I7" s="10">
        <v>15188</v>
      </c>
      <c r="J7" s="10">
        <v>20818</v>
      </c>
      <c r="K7" s="10">
        <v>20891</v>
      </c>
      <c r="L7" s="10">
        <v>22059</v>
      </c>
      <c r="M7" s="10">
        <v>21817</v>
      </c>
      <c r="N7" s="10">
        <v>20491</v>
      </c>
      <c r="O7" s="10">
        <v>21689</v>
      </c>
      <c r="P7" s="10">
        <v>22077</v>
      </c>
      <c r="Q7" s="10">
        <v>23941</v>
      </c>
      <c r="R7" s="10">
        <v>25376</v>
      </c>
      <c r="S7" s="10">
        <v>23782</v>
      </c>
      <c r="T7" s="10">
        <v>23619</v>
      </c>
      <c r="U7" s="10">
        <v>23507</v>
      </c>
      <c r="V7" s="10">
        <v>23026</v>
      </c>
      <c r="W7" s="10">
        <v>23798</v>
      </c>
      <c r="X7" s="72"/>
    </row>
    <row r="8" spans="2:24" s="2" customFormat="1">
      <c r="B8" s="9" t="s">
        <v>65</v>
      </c>
      <c r="C8" s="10">
        <v>4499</v>
      </c>
      <c r="D8" s="10">
        <v>4372</v>
      </c>
      <c r="E8" s="10">
        <v>4369</v>
      </c>
      <c r="F8" s="10">
        <v>4390</v>
      </c>
      <c r="G8" s="10">
        <v>2281</v>
      </c>
      <c r="H8" s="10">
        <v>2509</v>
      </c>
      <c r="I8" s="10">
        <v>2592</v>
      </c>
      <c r="J8" s="10">
        <v>5744</v>
      </c>
      <c r="K8" s="10">
        <v>5662</v>
      </c>
      <c r="L8" s="10">
        <v>5952</v>
      </c>
      <c r="M8" s="10">
        <v>5822</v>
      </c>
      <c r="N8" s="10">
        <v>5333</v>
      </c>
      <c r="O8" s="10">
        <v>5576</v>
      </c>
      <c r="P8" s="10">
        <v>5728</v>
      </c>
      <c r="Q8" s="10">
        <v>6887</v>
      </c>
      <c r="R8" s="10">
        <v>7163</v>
      </c>
      <c r="S8" s="10">
        <v>6552</v>
      </c>
      <c r="T8" s="10">
        <v>6352</v>
      </c>
      <c r="U8" s="10">
        <v>6153</v>
      </c>
      <c r="V8" s="10">
        <v>5880</v>
      </c>
      <c r="W8" s="10">
        <v>5996</v>
      </c>
      <c r="X8" s="72"/>
    </row>
    <row r="9" spans="2:24" s="2" customFormat="1">
      <c r="B9" s="9" t="s">
        <v>66</v>
      </c>
      <c r="C9" s="10">
        <v>39</v>
      </c>
      <c r="D9" s="10">
        <v>50</v>
      </c>
      <c r="E9" s="10">
        <v>59</v>
      </c>
      <c r="F9" s="10">
        <v>60</v>
      </c>
      <c r="G9" s="10">
        <v>52</v>
      </c>
      <c r="H9" s="10">
        <v>56</v>
      </c>
      <c r="I9" s="10">
        <v>58</v>
      </c>
      <c r="J9" s="10">
        <v>61</v>
      </c>
      <c r="K9" s="10">
        <v>65</v>
      </c>
      <c r="L9" s="10">
        <v>59</v>
      </c>
      <c r="M9" s="10">
        <v>57</v>
      </c>
      <c r="N9" s="10">
        <v>54</v>
      </c>
      <c r="O9" s="10">
        <v>56</v>
      </c>
      <c r="P9" s="10">
        <v>57</v>
      </c>
      <c r="Q9" s="10">
        <v>57</v>
      </c>
      <c r="R9" s="10">
        <v>57</v>
      </c>
      <c r="S9" s="10">
        <v>57</v>
      </c>
      <c r="T9" s="10">
        <v>14</v>
      </c>
      <c r="U9" s="10">
        <v>14</v>
      </c>
      <c r="V9" s="10">
        <v>13</v>
      </c>
      <c r="W9" s="10">
        <v>13</v>
      </c>
      <c r="X9" s="72"/>
    </row>
    <row r="10" spans="2:24" s="2" customFormat="1">
      <c r="B10" s="9" t="s">
        <v>67</v>
      </c>
      <c r="C10" s="10">
        <v>12</v>
      </c>
      <c r="D10" s="10">
        <v>10</v>
      </c>
      <c r="E10" s="10">
        <v>48</v>
      </c>
      <c r="F10" s="10">
        <v>42</v>
      </c>
      <c r="G10" s="10">
        <v>161</v>
      </c>
      <c r="H10" s="10">
        <v>288</v>
      </c>
      <c r="I10" s="10">
        <v>419</v>
      </c>
      <c r="J10" s="10">
        <v>456</v>
      </c>
      <c r="K10" s="10">
        <v>400</v>
      </c>
      <c r="L10" s="10">
        <v>185</v>
      </c>
      <c r="M10" s="10">
        <v>174</v>
      </c>
      <c r="N10" s="10">
        <v>165</v>
      </c>
      <c r="O10" s="10">
        <v>165</v>
      </c>
      <c r="P10" s="10">
        <v>175</v>
      </c>
      <c r="Q10" s="10">
        <v>164</v>
      </c>
      <c r="R10" s="10">
        <v>101</v>
      </c>
      <c r="S10" s="10">
        <v>89</v>
      </c>
      <c r="T10" s="10">
        <v>87</v>
      </c>
      <c r="U10" s="10">
        <v>85</v>
      </c>
      <c r="V10" s="10">
        <v>84</v>
      </c>
      <c r="W10" s="10">
        <v>93</v>
      </c>
      <c r="X10" s="72"/>
    </row>
    <row r="11" spans="2:24" s="2" customFormat="1">
      <c r="B11" s="9" t="s">
        <v>68</v>
      </c>
      <c r="C11" s="10">
        <v>591</v>
      </c>
      <c r="D11" s="10">
        <v>576</v>
      </c>
      <c r="E11" s="10">
        <v>582</v>
      </c>
      <c r="F11" s="10">
        <v>594</v>
      </c>
      <c r="G11" s="10">
        <v>465</v>
      </c>
      <c r="H11" s="10">
        <v>518</v>
      </c>
      <c r="I11" s="10">
        <v>527</v>
      </c>
      <c r="J11" s="10">
        <v>543</v>
      </c>
      <c r="K11" s="10">
        <v>546</v>
      </c>
      <c r="L11" s="10">
        <v>594</v>
      </c>
      <c r="M11" s="10">
        <v>541</v>
      </c>
      <c r="N11" s="10">
        <v>498</v>
      </c>
      <c r="O11" s="10">
        <v>525</v>
      </c>
      <c r="P11" s="10">
        <v>530</v>
      </c>
      <c r="Q11" s="10">
        <v>547</v>
      </c>
      <c r="R11" s="10">
        <v>542</v>
      </c>
      <c r="S11" s="10">
        <v>499</v>
      </c>
      <c r="T11" s="10">
        <v>531</v>
      </c>
      <c r="U11" s="10">
        <v>606</v>
      </c>
      <c r="V11" s="10">
        <v>335</v>
      </c>
      <c r="W11" s="10">
        <v>438</v>
      </c>
      <c r="X11" s="72"/>
    </row>
    <row r="12" spans="2:24" s="2" customFormat="1">
      <c r="B12" s="12" t="s">
        <v>109</v>
      </c>
      <c r="C12" s="22">
        <f t="shared" ref="C12:H12" si="0">SUM(C5:C11)</f>
        <v>34875</v>
      </c>
      <c r="D12" s="22">
        <f t="shared" si="0"/>
        <v>34368</v>
      </c>
      <c r="E12" s="22">
        <f t="shared" si="0"/>
        <v>34823</v>
      </c>
      <c r="F12" s="22">
        <f t="shared" si="0"/>
        <v>35742</v>
      </c>
      <c r="G12" s="22">
        <f t="shared" si="0"/>
        <v>23875</v>
      </c>
      <c r="H12" s="22">
        <f t="shared" si="0"/>
        <v>25727</v>
      </c>
      <c r="I12" s="22">
        <f t="shared" ref="I12:J12" si="1">SUM(I5:I11)</f>
        <v>26973</v>
      </c>
      <c r="J12" s="22">
        <f t="shared" si="1"/>
        <v>36718</v>
      </c>
      <c r="K12" s="22">
        <f t="shared" ref="K12:L12" si="2">SUM(K5:K11)</f>
        <v>36731</v>
      </c>
      <c r="L12" s="22">
        <f t="shared" si="2"/>
        <v>38296</v>
      </c>
      <c r="M12" s="22">
        <f t="shared" ref="M12:O12" si="3">SUM(M5:M11)</f>
        <v>37967</v>
      </c>
      <c r="N12" s="22">
        <f t="shared" si="3"/>
        <v>35836</v>
      </c>
      <c r="O12" s="22">
        <f t="shared" si="3"/>
        <v>37757</v>
      </c>
      <c r="P12" s="22">
        <f t="shared" ref="P12" si="4">SUM(P5:P11)</f>
        <v>38557</v>
      </c>
      <c r="Q12" s="22">
        <f>SUM(Q5:Q11)</f>
        <v>41756</v>
      </c>
      <c r="R12" s="22">
        <f>SUM(R5:R11)</f>
        <v>44303</v>
      </c>
      <c r="S12" s="22">
        <f t="shared" ref="S12:T12" si="5">SUM(S5:S11)</f>
        <v>41315</v>
      </c>
      <c r="T12" s="22">
        <f t="shared" si="5"/>
        <v>41159</v>
      </c>
      <c r="U12" s="22">
        <f t="shared" ref="U12" si="6">SUM(U5:U11)</f>
        <v>40907</v>
      </c>
      <c r="V12" s="22">
        <f>SUM(V5:V11)</f>
        <v>39794</v>
      </c>
      <c r="W12" s="22">
        <f>SUM(W5:W11)</f>
        <v>41129</v>
      </c>
      <c r="X12" s="72"/>
    </row>
    <row r="13" spans="2:24" s="2" customFormat="1">
      <c r="B13" s="9" t="s">
        <v>69</v>
      </c>
      <c r="C13" s="10">
        <v>5099</v>
      </c>
      <c r="D13" s="10">
        <v>5352</v>
      </c>
      <c r="E13" s="10">
        <v>5862</v>
      </c>
      <c r="F13" s="10">
        <v>6395</v>
      </c>
      <c r="G13" s="10">
        <v>4295</v>
      </c>
      <c r="H13" s="10">
        <v>4919</v>
      </c>
      <c r="I13" s="10">
        <v>5245</v>
      </c>
      <c r="J13" s="10">
        <v>5463</v>
      </c>
      <c r="K13" s="10">
        <v>5648</v>
      </c>
      <c r="L13" s="10">
        <v>5910</v>
      </c>
      <c r="M13" s="10">
        <v>5769</v>
      </c>
      <c r="N13" s="10">
        <v>5119</v>
      </c>
      <c r="O13" s="10">
        <v>5493</v>
      </c>
      <c r="P13" s="10">
        <v>5825</v>
      </c>
      <c r="Q13" s="10">
        <v>5827</v>
      </c>
      <c r="R13" s="10">
        <v>5733</v>
      </c>
      <c r="S13" s="10">
        <v>5496</v>
      </c>
      <c r="T13" s="10">
        <v>5619</v>
      </c>
      <c r="U13" s="10">
        <v>5549</v>
      </c>
      <c r="V13" s="10">
        <v>5376</v>
      </c>
      <c r="W13" s="10">
        <v>5620</v>
      </c>
      <c r="X13" s="72"/>
    </row>
    <row r="14" spans="2:24" s="2" customFormat="1">
      <c r="B14" s="9" t="s">
        <v>70</v>
      </c>
      <c r="C14" s="10">
        <v>7023</v>
      </c>
      <c r="D14" s="10">
        <v>7222</v>
      </c>
      <c r="E14" s="10">
        <v>7295</v>
      </c>
      <c r="F14" s="10">
        <v>7093</v>
      </c>
      <c r="G14" s="10">
        <v>5782</v>
      </c>
      <c r="H14" s="10">
        <v>6307</v>
      </c>
      <c r="I14" s="10">
        <v>6745</v>
      </c>
      <c r="J14" s="10">
        <v>6620</v>
      </c>
      <c r="K14" s="10">
        <v>7339</v>
      </c>
      <c r="L14" s="10">
        <v>7802</v>
      </c>
      <c r="M14" s="10">
        <v>7468</v>
      </c>
      <c r="N14" s="10">
        <v>6440</v>
      </c>
      <c r="O14" s="10">
        <v>7472</v>
      </c>
      <c r="P14" s="10">
        <v>7694</v>
      </c>
      <c r="Q14" s="10">
        <v>7559</v>
      </c>
      <c r="R14" s="10">
        <v>7182</v>
      </c>
      <c r="S14" s="10">
        <v>7468</v>
      </c>
      <c r="T14" s="10">
        <v>7675</v>
      </c>
      <c r="U14" s="10">
        <v>7660</v>
      </c>
      <c r="V14" s="10">
        <v>6760</v>
      </c>
      <c r="W14" s="10">
        <v>7946</v>
      </c>
      <c r="X14" s="72"/>
    </row>
    <row r="15" spans="2:24" s="2" customFormat="1">
      <c r="B15" s="9" t="s">
        <v>71</v>
      </c>
      <c r="C15" s="10">
        <v>887</v>
      </c>
      <c r="D15" s="10">
        <v>914</v>
      </c>
      <c r="E15" s="10">
        <v>1056</v>
      </c>
      <c r="F15" s="10">
        <v>1013</v>
      </c>
      <c r="G15" s="10">
        <v>932</v>
      </c>
      <c r="H15" s="10">
        <v>1167</v>
      </c>
      <c r="I15" s="10">
        <v>1326</v>
      </c>
      <c r="J15" s="10">
        <v>1068</v>
      </c>
      <c r="K15" s="10">
        <v>651</v>
      </c>
      <c r="L15" s="10">
        <v>914</v>
      </c>
      <c r="M15" s="10">
        <v>1078</v>
      </c>
      <c r="N15" s="10">
        <v>853</v>
      </c>
      <c r="O15" s="10">
        <v>997</v>
      </c>
      <c r="P15" s="10">
        <v>1237</v>
      </c>
      <c r="Q15" s="10">
        <v>1347</v>
      </c>
      <c r="R15" s="10">
        <v>1048</v>
      </c>
      <c r="S15" s="10">
        <v>1054</v>
      </c>
      <c r="T15" s="10">
        <v>982</v>
      </c>
      <c r="U15" s="10">
        <v>1167</v>
      </c>
      <c r="V15" s="10">
        <v>1052</v>
      </c>
      <c r="W15" s="10">
        <v>1080</v>
      </c>
      <c r="X15" s="72"/>
    </row>
    <row r="16" spans="2:24" s="2" customFormat="1">
      <c r="B16" s="9" t="s">
        <v>72</v>
      </c>
      <c r="C16" s="10">
        <v>80</v>
      </c>
      <c r="D16" s="10">
        <v>55</v>
      </c>
      <c r="E16" s="10">
        <v>58</v>
      </c>
      <c r="F16" s="10">
        <v>114</v>
      </c>
      <c r="G16" s="10">
        <v>248</v>
      </c>
      <c r="H16" s="10">
        <v>125</v>
      </c>
      <c r="I16" s="10">
        <v>152</v>
      </c>
      <c r="J16" s="10">
        <v>429</v>
      </c>
      <c r="K16" s="10">
        <v>73</v>
      </c>
      <c r="L16" s="10">
        <v>268</v>
      </c>
      <c r="M16" s="10">
        <v>297</v>
      </c>
      <c r="N16" s="10">
        <v>709</v>
      </c>
      <c r="O16" s="10">
        <v>103</v>
      </c>
      <c r="P16" s="10">
        <v>202</v>
      </c>
      <c r="Q16" s="10">
        <v>124</v>
      </c>
      <c r="R16" s="10">
        <v>80</v>
      </c>
      <c r="S16" s="10">
        <v>614</v>
      </c>
      <c r="T16" s="10">
        <v>136</v>
      </c>
      <c r="U16" s="10">
        <v>109</v>
      </c>
      <c r="V16" s="10">
        <v>217</v>
      </c>
      <c r="W16" s="10">
        <v>39</v>
      </c>
      <c r="X16" s="72"/>
    </row>
    <row r="17" spans="2:24" s="2" customFormat="1">
      <c r="B17" s="9" t="s">
        <v>73</v>
      </c>
      <c r="C17" s="10">
        <v>4788</v>
      </c>
      <c r="D17" s="10">
        <v>2904</v>
      </c>
      <c r="E17" s="10">
        <v>3577</v>
      </c>
      <c r="F17" s="10">
        <v>3460</v>
      </c>
      <c r="G17" s="10">
        <v>2215</v>
      </c>
      <c r="H17" s="10">
        <v>2359</v>
      </c>
      <c r="I17" s="10">
        <v>2746</v>
      </c>
      <c r="J17" s="10">
        <v>3924</v>
      </c>
      <c r="K17" s="10">
        <v>2317</v>
      </c>
      <c r="L17" s="10">
        <v>11628</v>
      </c>
      <c r="M17" s="10">
        <v>10558</v>
      </c>
      <c r="N17" s="10">
        <v>10546</v>
      </c>
      <c r="O17" s="10">
        <v>7937</v>
      </c>
      <c r="P17" s="10">
        <v>5141</v>
      </c>
      <c r="Q17" s="10">
        <v>2226</v>
      </c>
      <c r="R17" s="10">
        <v>2162</v>
      </c>
      <c r="S17" s="10">
        <v>1918</v>
      </c>
      <c r="T17" s="10">
        <v>2073</v>
      </c>
      <c r="U17" s="10">
        <v>1879</v>
      </c>
      <c r="V17" s="10">
        <v>2026</v>
      </c>
      <c r="W17" s="10">
        <v>2637</v>
      </c>
      <c r="X17" s="72"/>
    </row>
    <row r="18" spans="2:24" s="2" customFormat="1">
      <c r="B18" s="12" t="s">
        <v>74</v>
      </c>
      <c r="C18" s="33">
        <f t="shared" ref="C18:H18" si="7">SUM(C13:C17)</f>
        <v>17877</v>
      </c>
      <c r="D18" s="33">
        <f t="shared" si="7"/>
        <v>16447</v>
      </c>
      <c r="E18" s="33">
        <f t="shared" si="7"/>
        <v>17848</v>
      </c>
      <c r="F18" s="33">
        <f t="shared" si="7"/>
        <v>18075</v>
      </c>
      <c r="G18" s="33">
        <f t="shared" si="7"/>
        <v>13472</v>
      </c>
      <c r="H18" s="33">
        <f t="shared" si="7"/>
        <v>14877</v>
      </c>
      <c r="I18" s="33">
        <f t="shared" ref="I18:J18" si="8">SUM(I13:I17)</f>
        <v>16214</v>
      </c>
      <c r="J18" s="33">
        <f t="shared" si="8"/>
        <v>17504</v>
      </c>
      <c r="K18" s="33">
        <f t="shared" ref="K18:L18" si="9">SUM(K13:K17)</f>
        <v>16028</v>
      </c>
      <c r="L18" s="33">
        <f t="shared" si="9"/>
        <v>26522</v>
      </c>
      <c r="M18" s="33">
        <f t="shared" ref="M18:O18" si="10">SUM(M13:M17)</f>
        <v>25170</v>
      </c>
      <c r="N18" s="33">
        <f t="shared" si="10"/>
        <v>23667</v>
      </c>
      <c r="O18" s="33">
        <f t="shared" si="10"/>
        <v>22002</v>
      </c>
      <c r="P18" s="33">
        <f t="shared" ref="P18" si="11">SUM(P13:P17)</f>
        <v>20099</v>
      </c>
      <c r="Q18" s="33">
        <f>SUM(Q13:Q17)</f>
        <v>17083</v>
      </c>
      <c r="R18" s="33">
        <f>SUM(R13:R17)</f>
        <v>16205</v>
      </c>
      <c r="S18" s="33">
        <f t="shared" ref="S18:T18" si="12">SUM(S13:S17)</f>
        <v>16550</v>
      </c>
      <c r="T18" s="33">
        <f t="shared" si="12"/>
        <v>16485</v>
      </c>
      <c r="U18" s="33">
        <f t="shared" ref="U18" si="13">SUM(U13:U17)</f>
        <v>16364</v>
      </c>
      <c r="V18" s="33">
        <f>SUM(V13:V17)</f>
        <v>15431</v>
      </c>
      <c r="W18" s="33">
        <f>SUM(W13:W17)</f>
        <v>17322</v>
      </c>
      <c r="X18" s="72"/>
    </row>
    <row r="19" spans="2:24" s="2" customFormat="1">
      <c r="B19" s="9" t="s">
        <v>190</v>
      </c>
      <c r="C19" s="10">
        <v>2848</v>
      </c>
      <c r="D19" s="10">
        <v>2631</v>
      </c>
      <c r="E19" s="10">
        <v>2477</v>
      </c>
      <c r="F19" s="10">
        <v>1823</v>
      </c>
      <c r="G19" s="10">
        <v>19890</v>
      </c>
      <c r="H19" s="10">
        <v>21372</v>
      </c>
      <c r="I19" s="10">
        <v>22396</v>
      </c>
      <c r="J19" s="10">
        <v>22844</v>
      </c>
      <c r="K19" s="10">
        <v>24893</v>
      </c>
      <c r="L19" s="37">
        <v>0</v>
      </c>
      <c r="M19" s="37">
        <v>0</v>
      </c>
      <c r="N19" s="37">
        <v>0</v>
      </c>
      <c r="O19" s="37">
        <v>0</v>
      </c>
      <c r="P19" s="37">
        <v>0</v>
      </c>
      <c r="Q19" s="37">
        <v>0</v>
      </c>
      <c r="R19" s="37">
        <v>0</v>
      </c>
      <c r="S19" s="37">
        <v>0</v>
      </c>
      <c r="T19" s="37">
        <v>0</v>
      </c>
      <c r="U19" s="37">
        <v>0</v>
      </c>
      <c r="V19" s="37">
        <v>0</v>
      </c>
      <c r="W19" s="37">
        <v>0</v>
      </c>
      <c r="X19" s="72"/>
    </row>
    <row r="20" spans="2:24" s="2" customFormat="1">
      <c r="B20" s="12" t="s">
        <v>281</v>
      </c>
      <c r="C20" s="33">
        <f t="shared" ref="C20:H20" si="14">C12+C18+C19</f>
        <v>55600</v>
      </c>
      <c r="D20" s="33">
        <f t="shared" si="14"/>
        <v>53446</v>
      </c>
      <c r="E20" s="33">
        <f t="shared" si="14"/>
        <v>55148</v>
      </c>
      <c r="F20" s="33">
        <f t="shared" si="14"/>
        <v>55640</v>
      </c>
      <c r="G20" s="33">
        <f t="shared" si="14"/>
        <v>57237</v>
      </c>
      <c r="H20" s="33">
        <f t="shared" si="14"/>
        <v>61976</v>
      </c>
      <c r="I20" s="33">
        <f t="shared" ref="I20:J20" si="15">I12+I18+I19</f>
        <v>65583</v>
      </c>
      <c r="J20" s="33">
        <f t="shared" si="15"/>
        <v>77066</v>
      </c>
      <c r="K20" s="33">
        <f t="shared" ref="K20:L20" si="16">K12+K18+K19</f>
        <v>77652</v>
      </c>
      <c r="L20" s="33">
        <f t="shared" si="16"/>
        <v>64818</v>
      </c>
      <c r="M20" s="33">
        <f t="shared" ref="M20:O20" si="17">M12+M18+M19</f>
        <v>63137</v>
      </c>
      <c r="N20" s="33">
        <f t="shared" si="17"/>
        <v>59503</v>
      </c>
      <c r="O20" s="33">
        <f t="shared" si="17"/>
        <v>59759</v>
      </c>
      <c r="P20" s="33">
        <f t="shared" ref="P20:Q20" si="18">P12+P18+P19</f>
        <v>58656</v>
      </c>
      <c r="Q20" s="33">
        <f t="shared" si="18"/>
        <v>58839</v>
      </c>
      <c r="R20" s="33">
        <f t="shared" ref="R20:S20" si="19">R12+R18+R19</f>
        <v>60508</v>
      </c>
      <c r="S20" s="33">
        <f t="shared" si="19"/>
        <v>57865</v>
      </c>
      <c r="T20" s="33">
        <f t="shared" ref="T20:V20" si="20">T12+T18+T19</f>
        <v>57644</v>
      </c>
      <c r="U20" s="33">
        <f t="shared" si="20"/>
        <v>57271</v>
      </c>
      <c r="V20" s="33">
        <f t="shared" si="20"/>
        <v>55225</v>
      </c>
      <c r="W20" s="33">
        <f t="shared" ref="W20" si="21">W12+W18+W19</f>
        <v>58451</v>
      </c>
      <c r="X20" s="72"/>
    </row>
    <row r="21" spans="2:24" s="2" customFormat="1">
      <c r="B21" s="71"/>
      <c r="C21" s="35"/>
      <c r="D21" s="35"/>
      <c r="E21" s="35"/>
      <c r="F21" s="71"/>
      <c r="G21" s="71"/>
      <c r="H21" s="71"/>
      <c r="I21" s="71"/>
      <c r="J21" s="71"/>
      <c r="K21" s="71"/>
      <c r="L21" s="95"/>
      <c r="M21" s="95"/>
      <c r="N21" s="95"/>
      <c r="O21" s="71"/>
      <c r="P21" s="71"/>
      <c r="Q21" s="71"/>
      <c r="R21" s="71"/>
      <c r="S21" s="71"/>
      <c r="T21" s="71"/>
      <c r="U21" s="71"/>
      <c r="V21" s="71"/>
      <c r="W21" s="71"/>
      <c r="X21" s="72"/>
    </row>
    <row r="22" spans="2:24" s="2" customFormat="1">
      <c r="B22" s="38"/>
      <c r="C22" s="11"/>
      <c r="D22" s="11"/>
      <c r="E22" s="11"/>
      <c r="F22" s="38"/>
      <c r="G22" s="38"/>
      <c r="H22" s="38"/>
      <c r="I22" s="38"/>
      <c r="J22" s="38"/>
      <c r="K22" s="38"/>
      <c r="L22" s="96"/>
      <c r="M22" s="96"/>
      <c r="N22" s="96"/>
      <c r="O22" s="38"/>
      <c r="P22" s="38"/>
      <c r="Q22" s="38"/>
      <c r="R22" s="38"/>
      <c r="S22" s="38"/>
      <c r="T22" s="38"/>
      <c r="U22" s="38"/>
      <c r="V22" s="38"/>
      <c r="W22" s="38"/>
      <c r="X22" s="72"/>
    </row>
    <row r="23" spans="2:24" s="2" customFormat="1">
      <c r="B23" s="12" t="s">
        <v>164</v>
      </c>
      <c r="C23" s="33">
        <v>31027</v>
      </c>
      <c r="D23" s="33">
        <v>30380</v>
      </c>
      <c r="E23" s="33">
        <v>31725</v>
      </c>
      <c r="F23" s="33">
        <v>32998</v>
      </c>
      <c r="G23" s="33">
        <v>34722</v>
      </c>
      <c r="H23" s="33">
        <v>35359</v>
      </c>
      <c r="I23" s="33">
        <v>36952</v>
      </c>
      <c r="J23" s="33">
        <v>37488</v>
      </c>
      <c r="K23" s="33">
        <v>38579</v>
      </c>
      <c r="L23" s="33">
        <v>44394</v>
      </c>
      <c r="M23" s="33">
        <v>43843</v>
      </c>
      <c r="N23" s="33">
        <v>41727</v>
      </c>
      <c r="O23" s="33">
        <f t="shared" ref="O23:S23" si="22">+O52</f>
        <v>43073</v>
      </c>
      <c r="P23" s="33">
        <f t="shared" si="22"/>
        <v>41258</v>
      </c>
      <c r="Q23" s="33">
        <f t="shared" si="22"/>
        <v>40440</v>
      </c>
      <c r="R23" s="33">
        <f t="shared" si="22"/>
        <v>41569</v>
      </c>
      <c r="S23" s="33">
        <f t="shared" si="22"/>
        <v>38904</v>
      </c>
      <c r="T23" s="33">
        <f>+T52</f>
        <v>36816</v>
      </c>
      <c r="U23" s="33">
        <f>+U52</f>
        <v>36847</v>
      </c>
      <c r="V23" s="33">
        <f t="shared" ref="V23" si="23">+V52</f>
        <v>36499</v>
      </c>
      <c r="W23" s="33">
        <f>+W52</f>
        <v>37928</v>
      </c>
      <c r="X23" s="72"/>
    </row>
    <row r="24" spans="2:24" s="2" customFormat="1">
      <c r="B24" s="9" t="s">
        <v>76</v>
      </c>
      <c r="C24" s="10">
        <v>9747</v>
      </c>
      <c r="D24" s="10">
        <v>8887</v>
      </c>
      <c r="E24" s="10">
        <v>9711</v>
      </c>
      <c r="F24" s="10">
        <v>9666</v>
      </c>
      <c r="G24" s="10">
        <v>9205</v>
      </c>
      <c r="H24" s="10">
        <v>9975</v>
      </c>
      <c r="I24" s="10">
        <v>9410</v>
      </c>
      <c r="J24" s="10">
        <v>9029</v>
      </c>
      <c r="K24" s="10">
        <v>8460</v>
      </c>
      <c r="L24" s="10">
        <v>8297</v>
      </c>
      <c r="M24" s="10">
        <v>8226</v>
      </c>
      <c r="N24" s="10">
        <v>5344</v>
      </c>
      <c r="O24" s="10">
        <v>5532</v>
      </c>
      <c r="P24" s="10">
        <v>4943</v>
      </c>
      <c r="Q24" s="10">
        <v>5388</v>
      </c>
      <c r="R24" s="10">
        <v>5474</v>
      </c>
      <c r="S24" s="10">
        <v>5228</v>
      </c>
      <c r="T24" s="10">
        <v>6454</v>
      </c>
      <c r="U24" s="10">
        <v>6099</v>
      </c>
      <c r="V24" s="10">
        <v>5313</v>
      </c>
      <c r="W24" s="10">
        <v>4965</v>
      </c>
      <c r="X24" s="72"/>
    </row>
    <row r="25" spans="2:24" s="2" customFormat="1">
      <c r="B25" s="9" t="s">
        <v>77</v>
      </c>
      <c r="C25" s="10">
        <v>223</v>
      </c>
      <c r="D25" s="10">
        <v>206</v>
      </c>
      <c r="E25" s="10">
        <v>193</v>
      </c>
      <c r="F25" s="10">
        <v>202</v>
      </c>
      <c r="G25" s="10">
        <v>91</v>
      </c>
      <c r="H25" s="10">
        <v>76</v>
      </c>
      <c r="I25" s="10">
        <v>57</v>
      </c>
      <c r="J25" s="10">
        <v>86</v>
      </c>
      <c r="K25" s="10">
        <v>83</v>
      </c>
      <c r="L25" s="10">
        <v>83</v>
      </c>
      <c r="M25" s="10">
        <v>74</v>
      </c>
      <c r="N25" s="10">
        <v>71</v>
      </c>
      <c r="O25" s="10">
        <v>66</v>
      </c>
      <c r="P25" s="10">
        <v>65</v>
      </c>
      <c r="Q25" s="10">
        <v>59</v>
      </c>
      <c r="R25" s="10">
        <v>57</v>
      </c>
      <c r="S25" s="10">
        <v>47</v>
      </c>
      <c r="T25" s="10">
        <v>45</v>
      </c>
      <c r="U25" s="10">
        <v>43</v>
      </c>
      <c r="V25" s="10">
        <v>29</v>
      </c>
      <c r="W25" s="10">
        <v>30</v>
      </c>
      <c r="X25" s="72"/>
    </row>
    <row r="26" spans="2:24" s="2" customFormat="1">
      <c r="B26" s="9" t="s">
        <v>78</v>
      </c>
      <c r="C26" s="10">
        <v>580</v>
      </c>
      <c r="D26" s="10">
        <v>578</v>
      </c>
      <c r="E26" s="10">
        <v>581</v>
      </c>
      <c r="F26" s="10">
        <v>525</v>
      </c>
      <c r="G26" s="10">
        <v>359</v>
      </c>
      <c r="H26" s="10">
        <v>341</v>
      </c>
      <c r="I26" s="10">
        <v>339</v>
      </c>
      <c r="J26" s="10">
        <v>352</v>
      </c>
      <c r="K26" s="10">
        <v>357</v>
      </c>
      <c r="L26" s="10">
        <v>360</v>
      </c>
      <c r="M26" s="10">
        <v>340</v>
      </c>
      <c r="N26" s="10">
        <v>346</v>
      </c>
      <c r="O26" s="10">
        <v>388</v>
      </c>
      <c r="P26" s="10">
        <v>387</v>
      </c>
      <c r="Q26" s="10">
        <v>410</v>
      </c>
      <c r="R26" s="10">
        <v>447</v>
      </c>
      <c r="S26" s="10">
        <v>389</v>
      </c>
      <c r="T26" s="10">
        <v>403</v>
      </c>
      <c r="U26" s="10">
        <v>407</v>
      </c>
      <c r="V26" s="10">
        <v>355</v>
      </c>
      <c r="W26" s="10">
        <v>359</v>
      </c>
      <c r="X26" s="72"/>
    </row>
    <row r="27" spans="2:24" s="2" customFormat="1">
      <c r="B27" s="9" t="s">
        <v>79</v>
      </c>
      <c r="C27" s="10">
        <v>137</v>
      </c>
      <c r="D27" s="10">
        <v>142</v>
      </c>
      <c r="E27" s="10">
        <v>141</v>
      </c>
      <c r="F27" s="10">
        <v>152</v>
      </c>
      <c r="G27" s="10">
        <v>139</v>
      </c>
      <c r="H27" s="10">
        <v>210</v>
      </c>
      <c r="I27" s="10">
        <v>210</v>
      </c>
      <c r="J27" s="10">
        <v>288</v>
      </c>
      <c r="K27" s="10">
        <v>289</v>
      </c>
      <c r="L27" s="10">
        <v>298</v>
      </c>
      <c r="M27" s="10">
        <v>296</v>
      </c>
      <c r="N27" s="10">
        <v>447</v>
      </c>
      <c r="O27" s="10">
        <v>423</v>
      </c>
      <c r="P27" s="10">
        <v>422</v>
      </c>
      <c r="Q27" s="10">
        <v>425</v>
      </c>
      <c r="R27" s="10">
        <v>403</v>
      </c>
      <c r="S27" s="10">
        <v>394</v>
      </c>
      <c r="T27" s="10">
        <v>383</v>
      </c>
      <c r="U27" s="10">
        <v>380</v>
      </c>
      <c r="V27" s="10">
        <v>379</v>
      </c>
      <c r="W27" s="10">
        <v>378</v>
      </c>
      <c r="X27" s="72"/>
    </row>
    <row r="28" spans="2:24" s="2" customFormat="1">
      <c r="B28" s="9" t="s">
        <v>80</v>
      </c>
      <c r="C28" s="10">
        <v>796</v>
      </c>
      <c r="D28" s="10">
        <v>830</v>
      </c>
      <c r="E28" s="10">
        <v>867</v>
      </c>
      <c r="F28" s="10">
        <v>926</v>
      </c>
      <c r="G28" s="10">
        <v>683</v>
      </c>
      <c r="H28" s="10">
        <v>842</v>
      </c>
      <c r="I28" s="10">
        <v>891</v>
      </c>
      <c r="J28" s="10">
        <v>910</v>
      </c>
      <c r="K28" s="10">
        <v>924</v>
      </c>
      <c r="L28" s="10">
        <v>890</v>
      </c>
      <c r="M28" s="10">
        <v>868</v>
      </c>
      <c r="N28" s="10">
        <v>799</v>
      </c>
      <c r="O28" s="10">
        <v>854</v>
      </c>
      <c r="P28" s="10">
        <v>909</v>
      </c>
      <c r="Q28" s="10">
        <v>1286</v>
      </c>
      <c r="R28" s="10">
        <v>1405</v>
      </c>
      <c r="S28" s="10">
        <v>1254</v>
      </c>
      <c r="T28" s="10">
        <v>1334</v>
      </c>
      <c r="U28" s="10">
        <v>1359</v>
      </c>
      <c r="V28" s="10">
        <v>1335</v>
      </c>
      <c r="W28" s="10">
        <v>1512</v>
      </c>
      <c r="X28" s="72"/>
    </row>
    <row r="29" spans="2:24" s="2" customFormat="1">
      <c r="B29" s="12" t="s">
        <v>81</v>
      </c>
      <c r="C29" s="33">
        <f t="shared" ref="C29:H29" si="24">SUM(C24:C28)</f>
        <v>11483</v>
      </c>
      <c r="D29" s="33">
        <f t="shared" si="24"/>
        <v>10643</v>
      </c>
      <c r="E29" s="33">
        <f t="shared" si="24"/>
        <v>11493</v>
      </c>
      <c r="F29" s="33">
        <f t="shared" si="24"/>
        <v>11471</v>
      </c>
      <c r="G29" s="33">
        <f t="shared" si="24"/>
        <v>10477</v>
      </c>
      <c r="H29" s="33">
        <f t="shared" si="24"/>
        <v>11444</v>
      </c>
      <c r="I29" s="33">
        <f t="shared" ref="I29:J29" si="25">SUM(I24:I28)</f>
        <v>10907</v>
      </c>
      <c r="J29" s="33">
        <f t="shared" si="25"/>
        <v>10665</v>
      </c>
      <c r="K29" s="33">
        <f t="shared" ref="K29:L29" si="26">SUM(K24:K28)</f>
        <v>10113</v>
      </c>
      <c r="L29" s="33">
        <f t="shared" si="26"/>
        <v>9928</v>
      </c>
      <c r="M29" s="33">
        <f t="shared" ref="M29:O29" si="27">SUM(M24:M28)</f>
        <v>9804</v>
      </c>
      <c r="N29" s="33">
        <f t="shared" si="27"/>
        <v>7007</v>
      </c>
      <c r="O29" s="33">
        <f t="shared" si="27"/>
        <v>7263</v>
      </c>
      <c r="P29" s="33">
        <f t="shared" ref="P29:Q29" si="28">SUM(P24:P28)</f>
        <v>6726</v>
      </c>
      <c r="Q29" s="33">
        <f t="shared" si="28"/>
        <v>7568</v>
      </c>
      <c r="R29" s="33">
        <f t="shared" ref="R29:S29" si="29">SUM(R24:R28)</f>
        <v>7786</v>
      </c>
      <c r="S29" s="33">
        <f t="shared" si="29"/>
        <v>7312</v>
      </c>
      <c r="T29" s="33">
        <f t="shared" ref="T29:V29" si="30">SUM(T24:T28)</f>
        <v>8619</v>
      </c>
      <c r="U29" s="33">
        <f t="shared" si="30"/>
        <v>8288</v>
      </c>
      <c r="V29" s="33">
        <f t="shared" si="30"/>
        <v>7411</v>
      </c>
      <c r="W29" s="33">
        <f t="shared" ref="W29" si="31">SUM(W24:W28)</f>
        <v>7244</v>
      </c>
      <c r="X29" s="72"/>
    </row>
    <row r="30" spans="2:24" s="2" customFormat="1">
      <c r="B30" s="9" t="s">
        <v>82</v>
      </c>
      <c r="C30" s="10">
        <v>4362</v>
      </c>
      <c r="D30" s="10">
        <v>3405</v>
      </c>
      <c r="E30" s="10">
        <v>2491</v>
      </c>
      <c r="F30" s="10">
        <v>1738</v>
      </c>
      <c r="G30" s="10">
        <v>703</v>
      </c>
      <c r="H30" s="10">
        <v>2997</v>
      </c>
      <c r="I30" s="10">
        <v>5076</v>
      </c>
      <c r="J30" s="10">
        <v>16124</v>
      </c>
      <c r="K30" s="10">
        <v>16783</v>
      </c>
      <c r="L30" s="10">
        <v>1425</v>
      </c>
      <c r="M30" s="10">
        <v>486</v>
      </c>
      <c r="N30" s="10">
        <v>2953</v>
      </c>
      <c r="O30" s="10">
        <v>1251</v>
      </c>
      <c r="P30" s="10">
        <v>2072</v>
      </c>
      <c r="Q30" s="10">
        <v>2010</v>
      </c>
      <c r="R30" s="10">
        <v>3087</v>
      </c>
      <c r="S30" s="10">
        <v>3675</v>
      </c>
      <c r="T30" s="10">
        <v>4316</v>
      </c>
      <c r="U30" s="10">
        <v>3789</v>
      </c>
      <c r="V30" s="10">
        <v>3819</v>
      </c>
      <c r="W30" s="10">
        <v>5181</v>
      </c>
      <c r="X30" s="72"/>
    </row>
    <row r="31" spans="2:24" s="2" customFormat="1">
      <c r="B31" s="9" t="s">
        <v>83</v>
      </c>
      <c r="C31" s="10">
        <v>1262</v>
      </c>
      <c r="D31" s="10">
        <v>1294</v>
      </c>
      <c r="E31" s="10">
        <v>1345</v>
      </c>
      <c r="F31" s="10">
        <v>1309</v>
      </c>
      <c r="G31" s="10">
        <v>1321</v>
      </c>
      <c r="H31" s="10">
        <v>1413</v>
      </c>
      <c r="I31" s="10">
        <v>1609</v>
      </c>
      <c r="J31" s="10">
        <v>1360</v>
      </c>
      <c r="K31" s="10">
        <v>1032</v>
      </c>
      <c r="L31" s="10">
        <v>1242</v>
      </c>
      <c r="M31" s="10">
        <v>1449</v>
      </c>
      <c r="N31" s="10">
        <v>1241</v>
      </c>
      <c r="O31" s="10">
        <v>1276</v>
      </c>
      <c r="P31" s="10">
        <v>1502</v>
      </c>
      <c r="Q31" s="10">
        <v>1714</v>
      </c>
      <c r="R31" s="10">
        <v>1250</v>
      </c>
      <c r="S31" s="10">
        <v>1450</v>
      </c>
      <c r="T31" s="10">
        <v>1376</v>
      </c>
      <c r="U31" s="10">
        <v>1607</v>
      </c>
      <c r="V31" s="10">
        <v>1267</v>
      </c>
      <c r="W31" s="10">
        <v>1248</v>
      </c>
      <c r="X31" s="72"/>
    </row>
    <row r="32" spans="2:24" s="2" customFormat="1">
      <c r="B32" s="9" t="s">
        <v>84</v>
      </c>
      <c r="C32" s="10">
        <v>6246</v>
      </c>
      <c r="D32" s="10">
        <v>6640</v>
      </c>
      <c r="E32" s="10">
        <v>6974</v>
      </c>
      <c r="F32" s="10">
        <v>7162</v>
      </c>
      <c r="G32" s="10">
        <v>5087</v>
      </c>
      <c r="H32" s="10">
        <v>5431</v>
      </c>
      <c r="I32" s="10">
        <v>5788</v>
      </c>
      <c r="J32" s="10">
        <v>6045</v>
      </c>
      <c r="K32" s="10">
        <v>5969</v>
      </c>
      <c r="L32" s="10">
        <v>7372</v>
      </c>
      <c r="M32" s="10">
        <v>7149</v>
      </c>
      <c r="N32" s="10">
        <v>6080</v>
      </c>
      <c r="O32" s="10">
        <v>6424</v>
      </c>
      <c r="P32" s="10">
        <v>6664</v>
      </c>
      <c r="Q32" s="10">
        <v>6715</v>
      </c>
      <c r="R32" s="10">
        <v>6452</v>
      </c>
      <c r="S32" s="10">
        <v>6199</v>
      </c>
      <c r="T32" s="10">
        <v>6177</v>
      </c>
      <c r="U32" s="10">
        <v>6416</v>
      </c>
      <c r="V32" s="10">
        <v>5888</v>
      </c>
      <c r="W32" s="10">
        <v>6535</v>
      </c>
      <c r="X32" s="72"/>
    </row>
    <row r="33" spans="2:24" s="2" customFormat="1">
      <c r="B33" s="9" t="s">
        <v>79</v>
      </c>
      <c r="C33" s="10">
        <v>288</v>
      </c>
      <c r="D33" s="10">
        <v>320</v>
      </c>
      <c r="E33" s="10">
        <v>353</v>
      </c>
      <c r="F33" s="10">
        <v>380</v>
      </c>
      <c r="G33" s="10">
        <v>333</v>
      </c>
      <c r="H33" s="10">
        <v>338</v>
      </c>
      <c r="I33" s="10">
        <v>349</v>
      </c>
      <c r="J33" s="10">
        <v>361</v>
      </c>
      <c r="K33" s="10">
        <v>346</v>
      </c>
      <c r="L33" s="10">
        <v>457</v>
      </c>
      <c r="M33" s="10">
        <v>406</v>
      </c>
      <c r="N33" s="10">
        <v>495</v>
      </c>
      <c r="O33" s="10">
        <v>473</v>
      </c>
      <c r="P33" s="10">
        <v>434</v>
      </c>
      <c r="Q33" s="10">
        <v>392</v>
      </c>
      <c r="R33" s="10">
        <v>364</v>
      </c>
      <c r="S33" s="10">
        <v>325</v>
      </c>
      <c r="T33" s="10">
        <v>340</v>
      </c>
      <c r="U33" s="10">
        <v>324</v>
      </c>
      <c r="V33" s="10">
        <v>341</v>
      </c>
      <c r="W33" s="10">
        <v>315</v>
      </c>
      <c r="X33" s="72"/>
    </row>
    <row r="34" spans="2:24" s="2" customFormat="1">
      <c r="B34" s="12" t="s">
        <v>85</v>
      </c>
      <c r="C34" s="33">
        <f t="shared" ref="C34:H34" si="32">SUM(C30:C33)</f>
        <v>12158</v>
      </c>
      <c r="D34" s="33">
        <f t="shared" si="32"/>
        <v>11659</v>
      </c>
      <c r="E34" s="33">
        <f t="shared" si="32"/>
        <v>11163</v>
      </c>
      <c r="F34" s="33">
        <f t="shared" si="32"/>
        <v>10589</v>
      </c>
      <c r="G34" s="33">
        <f t="shared" si="32"/>
        <v>7444</v>
      </c>
      <c r="H34" s="33">
        <f t="shared" si="32"/>
        <v>10179</v>
      </c>
      <c r="I34" s="33">
        <f t="shared" ref="I34:J34" si="33">SUM(I30:I33)</f>
        <v>12822</v>
      </c>
      <c r="J34" s="33">
        <f t="shared" si="33"/>
        <v>23890</v>
      </c>
      <c r="K34" s="33">
        <f t="shared" ref="K34:L34" si="34">SUM(K30:K33)</f>
        <v>24130</v>
      </c>
      <c r="L34" s="33">
        <f t="shared" si="34"/>
        <v>10496</v>
      </c>
      <c r="M34" s="33">
        <f t="shared" ref="M34:O34" si="35">SUM(M30:M33)</f>
        <v>9490</v>
      </c>
      <c r="N34" s="33">
        <f t="shared" si="35"/>
        <v>10769</v>
      </c>
      <c r="O34" s="33">
        <f t="shared" si="35"/>
        <v>9424</v>
      </c>
      <c r="P34" s="33">
        <f t="shared" ref="P34:Q34" si="36">SUM(P30:P33)</f>
        <v>10672</v>
      </c>
      <c r="Q34" s="33">
        <f t="shared" si="36"/>
        <v>10831</v>
      </c>
      <c r="R34" s="33">
        <f t="shared" ref="R34:S34" si="37">SUM(R30:R33)</f>
        <v>11153</v>
      </c>
      <c r="S34" s="33">
        <f t="shared" si="37"/>
        <v>11649</v>
      </c>
      <c r="T34" s="33">
        <f t="shared" ref="T34:V34" si="38">SUM(T30:T33)</f>
        <v>12209</v>
      </c>
      <c r="U34" s="33">
        <f t="shared" si="38"/>
        <v>12136</v>
      </c>
      <c r="V34" s="33">
        <f t="shared" si="38"/>
        <v>11315</v>
      </c>
      <c r="W34" s="33">
        <f t="shared" ref="W34" si="39">SUM(W30:W33)</f>
        <v>13279</v>
      </c>
      <c r="X34" s="72"/>
    </row>
    <row r="35" spans="2:24" s="2" customFormat="1">
      <c r="B35" s="9" t="s">
        <v>191</v>
      </c>
      <c r="C35" s="84">
        <v>932</v>
      </c>
      <c r="D35" s="84">
        <v>764</v>
      </c>
      <c r="E35" s="84">
        <v>767</v>
      </c>
      <c r="F35" s="84">
        <v>582</v>
      </c>
      <c r="G35" s="84">
        <v>4594</v>
      </c>
      <c r="H35" s="84">
        <v>4994</v>
      </c>
      <c r="I35" s="84">
        <v>4902</v>
      </c>
      <c r="J35" s="84">
        <v>5023</v>
      </c>
      <c r="K35" s="84">
        <v>4830</v>
      </c>
      <c r="L35" s="37">
        <v>0</v>
      </c>
      <c r="M35" s="37">
        <v>0</v>
      </c>
      <c r="N35" s="37">
        <v>0</v>
      </c>
      <c r="O35" s="37">
        <v>0</v>
      </c>
      <c r="P35" s="37">
        <v>0</v>
      </c>
      <c r="Q35" s="37">
        <v>0</v>
      </c>
      <c r="R35" s="37">
        <v>0</v>
      </c>
      <c r="S35" s="37">
        <v>0</v>
      </c>
      <c r="T35" s="37">
        <v>0</v>
      </c>
      <c r="U35" s="37">
        <v>0</v>
      </c>
      <c r="V35" s="37">
        <v>0</v>
      </c>
      <c r="W35" s="37">
        <v>0</v>
      </c>
      <c r="X35" s="72"/>
    </row>
    <row r="36" spans="2:24" s="2" customFormat="1">
      <c r="B36" s="12" t="s">
        <v>86</v>
      </c>
      <c r="C36" s="33">
        <f t="shared" ref="C36:H36" si="40">C23+C29+C34+C35</f>
        <v>55600</v>
      </c>
      <c r="D36" s="33">
        <f t="shared" si="40"/>
        <v>53446</v>
      </c>
      <c r="E36" s="33">
        <f t="shared" si="40"/>
        <v>55148</v>
      </c>
      <c r="F36" s="33">
        <f t="shared" si="40"/>
        <v>55640</v>
      </c>
      <c r="G36" s="33">
        <f t="shared" si="40"/>
        <v>57237</v>
      </c>
      <c r="H36" s="33">
        <f t="shared" si="40"/>
        <v>61976</v>
      </c>
      <c r="I36" s="33">
        <f t="shared" ref="I36:J36" si="41">I23+I29+I34+I35</f>
        <v>65583</v>
      </c>
      <c r="J36" s="33">
        <f t="shared" si="41"/>
        <v>77066</v>
      </c>
      <c r="K36" s="33">
        <f t="shared" ref="K36:L36" si="42">K23+K29+K34+K35</f>
        <v>77652</v>
      </c>
      <c r="L36" s="33">
        <f t="shared" si="42"/>
        <v>64818</v>
      </c>
      <c r="M36" s="33">
        <f t="shared" ref="M36:O36" si="43">M23+M29+M34+M35</f>
        <v>63137</v>
      </c>
      <c r="N36" s="33">
        <f t="shared" si="43"/>
        <v>59503</v>
      </c>
      <c r="O36" s="33">
        <f t="shared" si="43"/>
        <v>59760</v>
      </c>
      <c r="P36" s="33">
        <f t="shared" ref="P36" si="44">P23+P29+P34+P35</f>
        <v>58656</v>
      </c>
      <c r="Q36" s="33">
        <f>Q23+Q29+Q34+Q35</f>
        <v>58839</v>
      </c>
      <c r="R36" s="33">
        <f>R23+R29+R34+R35</f>
        <v>60508</v>
      </c>
      <c r="S36" s="33">
        <f t="shared" ref="S36" si="45">S23+S29+S34+S35</f>
        <v>57865</v>
      </c>
      <c r="T36" s="33">
        <f>T23+T29+T34+T35</f>
        <v>57644</v>
      </c>
      <c r="U36" s="33">
        <f>U23+U29+U34+U35</f>
        <v>57271</v>
      </c>
      <c r="V36" s="33">
        <f>V23+V29+V34+V35</f>
        <v>55225</v>
      </c>
      <c r="W36" s="33">
        <f>W23+W29+W34+W35</f>
        <v>58451</v>
      </c>
      <c r="X36" s="72"/>
    </row>
    <row r="37" spans="2:24" s="2" customFormat="1">
      <c r="B37" s="38"/>
      <c r="C37" s="38"/>
      <c r="D37" s="38"/>
      <c r="E37" s="38"/>
      <c r="F37" s="38"/>
      <c r="G37" s="38"/>
      <c r="H37" s="38"/>
      <c r="V37" s="155"/>
      <c r="W37" s="155"/>
      <c r="X37" s="72"/>
    </row>
    <row r="38" spans="2:24" s="2" customFormat="1">
      <c r="B38" s="76"/>
      <c r="C38" s="38"/>
      <c r="D38" s="38"/>
      <c r="E38" s="38"/>
      <c r="F38" s="38"/>
      <c r="G38" s="76"/>
      <c r="H38" s="76"/>
      <c r="V38" s="155"/>
      <c r="W38" s="155"/>
      <c r="X38" s="72"/>
    </row>
    <row r="39" spans="2:24">
      <c r="B39" s="29" t="s">
        <v>87</v>
      </c>
      <c r="C39" s="30" t="s">
        <v>62</v>
      </c>
      <c r="D39" s="30" t="s">
        <v>61</v>
      </c>
      <c r="E39" s="30" t="s">
        <v>60</v>
      </c>
      <c r="F39" s="30" t="s">
        <v>59</v>
      </c>
      <c r="G39" s="30" t="s">
        <v>62</v>
      </c>
      <c r="H39" s="30" t="s">
        <v>61</v>
      </c>
      <c r="I39" s="156" t="s">
        <v>60</v>
      </c>
      <c r="J39" s="156" t="s">
        <v>59</v>
      </c>
      <c r="K39" s="30" t="s">
        <v>62</v>
      </c>
      <c r="L39" s="30" t="s">
        <v>229</v>
      </c>
      <c r="M39" s="156" t="s">
        <v>238</v>
      </c>
      <c r="N39" s="156" t="s">
        <v>59</v>
      </c>
      <c r="O39" s="30" t="s">
        <v>62</v>
      </c>
      <c r="P39" s="30" t="str">
        <f>+P3</f>
        <v>30 jun</v>
      </c>
      <c r="Q39" s="30" t="str">
        <f>+Q3</f>
        <v>30 sep</v>
      </c>
      <c r="R39" s="30" t="str">
        <f>+R3</f>
        <v>31 dec</v>
      </c>
      <c r="S39" s="30" t="s">
        <v>62</v>
      </c>
      <c r="T39" s="30" t="s">
        <v>61</v>
      </c>
      <c r="U39" s="30" t="str">
        <f>U3</f>
        <v>30 sep</v>
      </c>
      <c r="V39" s="156" t="str">
        <f>+V3</f>
        <v>31 dec</v>
      </c>
      <c r="W39" s="156" t="str">
        <f>+$W$3</f>
        <v>31 mar</v>
      </c>
      <c r="X39" s="72"/>
    </row>
    <row r="40" spans="2:24">
      <c r="B40" s="31"/>
      <c r="C40" s="31">
        <v>2021</v>
      </c>
      <c r="D40" s="31">
        <v>2021</v>
      </c>
      <c r="E40" s="31">
        <v>2021</v>
      </c>
      <c r="F40" s="31">
        <v>2021</v>
      </c>
      <c r="G40" s="31">
        <v>2022</v>
      </c>
      <c r="H40" s="31">
        <v>2022</v>
      </c>
      <c r="I40" s="31">
        <v>2022</v>
      </c>
      <c r="J40" s="31">
        <v>2022</v>
      </c>
      <c r="K40" s="31">
        <v>2023</v>
      </c>
      <c r="L40" s="31">
        <v>2023</v>
      </c>
      <c r="M40" s="31">
        <v>2023</v>
      </c>
      <c r="N40" s="31">
        <v>2023</v>
      </c>
      <c r="O40" s="31">
        <v>2024</v>
      </c>
      <c r="P40" s="31">
        <v>2024</v>
      </c>
      <c r="Q40" s="31">
        <v>2024</v>
      </c>
      <c r="R40" s="31">
        <v>2024</v>
      </c>
      <c r="S40" s="31">
        <f>+S4</f>
        <v>2025</v>
      </c>
      <c r="T40" s="31">
        <f>+T4</f>
        <v>2025</v>
      </c>
      <c r="U40" s="31">
        <f>+U4</f>
        <v>2025</v>
      </c>
      <c r="V40" s="31">
        <v>2025</v>
      </c>
      <c r="W40" s="156" t="s">
        <v>328</v>
      </c>
      <c r="X40" s="72"/>
    </row>
    <row r="41" spans="2:24" s="2" customFormat="1">
      <c r="B41" s="39" t="s">
        <v>102</v>
      </c>
      <c r="C41" s="40">
        <v>28953</v>
      </c>
      <c r="D41" s="40">
        <f>+C41</f>
        <v>28953</v>
      </c>
      <c r="E41" s="40">
        <f>+D41</f>
        <v>28953</v>
      </c>
      <c r="F41" s="40">
        <f>+E41</f>
        <v>28953</v>
      </c>
      <c r="G41" s="40">
        <f>F52</f>
        <v>32998</v>
      </c>
      <c r="H41" s="40">
        <f>F52</f>
        <v>32998</v>
      </c>
      <c r="I41" s="40">
        <f>F52</f>
        <v>32998</v>
      </c>
      <c r="J41" s="40">
        <f>F52</f>
        <v>32998</v>
      </c>
      <c r="K41" s="40">
        <f>J52</f>
        <v>37488</v>
      </c>
      <c r="L41" s="40">
        <f>J52</f>
        <v>37488</v>
      </c>
      <c r="M41" s="40">
        <f>J52</f>
        <v>37488</v>
      </c>
      <c r="N41" s="40">
        <f>J52</f>
        <v>37488</v>
      </c>
      <c r="O41" s="40">
        <f>N52</f>
        <v>41727</v>
      </c>
      <c r="P41" s="40">
        <f>+O41</f>
        <v>41727</v>
      </c>
      <c r="Q41" s="40">
        <f>+P41</f>
        <v>41727</v>
      </c>
      <c r="R41" s="40">
        <f>+Q41</f>
        <v>41727</v>
      </c>
      <c r="S41" s="40">
        <f>R52</f>
        <v>41569</v>
      </c>
      <c r="T41" s="40">
        <f>+S41</f>
        <v>41569</v>
      </c>
      <c r="U41" s="40">
        <f>+T41</f>
        <v>41569</v>
      </c>
      <c r="V41" s="40">
        <f>+U41</f>
        <v>41569</v>
      </c>
      <c r="W41" s="40">
        <f>+V52</f>
        <v>36499</v>
      </c>
      <c r="X41" s="72"/>
    </row>
    <row r="42" spans="2:24" s="2" customFormat="1">
      <c r="B42" s="9" t="s">
        <v>167</v>
      </c>
      <c r="C42" s="37">
        <v>0</v>
      </c>
      <c r="D42" s="37">
        <v>-4</v>
      </c>
      <c r="E42" s="37">
        <v>0</v>
      </c>
      <c r="F42" s="37">
        <v>0</v>
      </c>
      <c r="G42" s="37">
        <v>0</v>
      </c>
      <c r="H42" s="37">
        <v>0</v>
      </c>
      <c r="I42" s="37">
        <v>0</v>
      </c>
      <c r="J42" s="37">
        <v>0</v>
      </c>
      <c r="K42" s="37">
        <v>0</v>
      </c>
      <c r="L42" s="37">
        <v>0</v>
      </c>
      <c r="M42" s="37">
        <v>0</v>
      </c>
      <c r="N42" s="160" t="s">
        <v>295</v>
      </c>
      <c r="O42" s="37">
        <v>0</v>
      </c>
      <c r="P42" s="37">
        <v>0</v>
      </c>
      <c r="Q42" s="37">
        <v>0</v>
      </c>
      <c r="R42" s="37">
        <v>0</v>
      </c>
      <c r="S42" s="37">
        <v>0</v>
      </c>
      <c r="T42" s="37">
        <v>0</v>
      </c>
      <c r="U42" s="37">
        <v>0</v>
      </c>
      <c r="V42" s="37">
        <v>0</v>
      </c>
      <c r="W42" s="37">
        <v>0</v>
      </c>
      <c r="X42" s="72"/>
    </row>
    <row r="43" spans="2:24" s="2" customFormat="1">
      <c r="B43" s="9" t="s">
        <v>282</v>
      </c>
      <c r="C43" s="48">
        <f>RR!C21</f>
        <v>1104</v>
      </c>
      <c r="D43" s="48">
        <f>+C43+RR!D21</f>
        <v>2096</v>
      </c>
      <c r="E43" s="48">
        <f>+D43+RR!E21</f>
        <v>2964</v>
      </c>
      <c r="F43" s="48">
        <f>+RR!G21</f>
        <v>3716</v>
      </c>
      <c r="G43" s="48">
        <f>+RR!H22</f>
        <v>1303</v>
      </c>
      <c r="H43" s="48">
        <f>RR!I22+G43</f>
        <v>2820</v>
      </c>
      <c r="I43" s="48">
        <f>+H43+RR!J22</f>
        <v>4063</v>
      </c>
      <c r="J43" s="48">
        <f>+I43+RR!K22</f>
        <v>5260</v>
      </c>
      <c r="K43" s="48">
        <f>RR!M22</f>
        <v>1362</v>
      </c>
      <c r="L43" s="48">
        <f>+K43+RR!N22</f>
        <v>8389</v>
      </c>
      <c r="M43" s="48">
        <f>+L43+RR!O22</f>
        <v>9295</v>
      </c>
      <c r="N43" s="48">
        <f>+M43+RR!P22</f>
        <v>10075</v>
      </c>
      <c r="O43" s="48">
        <f>+RR!R22</f>
        <v>980</v>
      </c>
      <c r="P43" s="48">
        <f>+RR!S22+O43</f>
        <v>1968</v>
      </c>
      <c r="Q43" s="48">
        <f>+RR!T22+P43</f>
        <v>2804</v>
      </c>
      <c r="R43" s="48">
        <f>+RR!U22+Q43</f>
        <v>3737</v>
      </c>
      <c r="S43" s="48">
        <f>RR!W22</f>
        <v>941</v>
      </c>
      <c r="T43" s="48">
        <f>+SUM(RR!W22:X22)</f>
        <v>1864</v>
      </c>
      <c r="U43" s="48">
        <f>+SUM(RR!W22:Y22)</f>
        <v>2760</v>
      </c>
      <c r="V43" s="48">
        <f>+SUM(RR!W22:Z22)</f>
        <v>3596</v>
      </c>
      <c r="W43" s="48">
        <f>+RR!AB21</f>
        <v>978</v>
      </c>
      <c r="X43" s="72"/>
    </row>
    <row r="44" spans="2:24" s="2" customFormat="1">
      <c r="B44" s="9" t="s">
        <v>116</v>
      </c>
      <c r="C44" s="48">
        <f>RR!C53</f>
        <v>970</v>
      </c>
      <c r="D44" s="48">
        <f>RR!C53+RR!D53</f>
        <v>690</v>
      </c>
      <c r="E44" s="48">
        <f>RR!C53+RR!D53+RR!E53</f>
        <v>1163</v>
      </c>
      <c r="F44" s="48">
        <f>RR!C53+RR!D53+RR!E53+RR!F53</f>
        <v>1684</v>
      </c>
      <c r="G44" s="48">
        <f>RR!H53</f>
        <v>501</v>
      </c>
      <c r="H44" s="48">
        <f>RR!H53+RR!I53</f>
        <v>2272</v>
      </c>
      <c r="I44" s="48">
        <f>RR!H53+RR!I53+RR!J53</f>
        <v>3826</v>
      </c>
      <c r="J44" s="48">
        <f>RR!I53+RR!J53+RR!K53+RR!H53</f>
        <v>3441</v>
      </c>
      <c r="K44" s="48">
        <f>RR!M53</f>
        <v>339</v>
      </c>
      <c r="L44" s="48">
        <f>RR!N53+RR!M53</f>
        <v>1582</v>
      </c>
      <c r="M44" s="48">
        <f>RR!O53+RR!N53+RR!M53</f>
        <v>1213</v>
      </c>
      <c r="N44" s="48">
        <f>+RR!Q53</f>
        <v>-656</v>
      </c>
      <c r="O44" s="48">
        <f>RR!R53</f>
        <v>1412</v>
      </c>
      <c r="P44" s="48">
        <f>RR!R53+RR!S53</f>
        <v>1123</v>
      </c>
      <c r="Q44" s="48">
        <f>RR!S53+RR!T53+RR!R53</f>
        <v>197</v>
      </c>
      <c r="R44" s="48">
        <f>RR!T53+RR!U53+RR!S53+RR!R53</f>
        <v>1676</v>
      </c>
      <c r="S44" s="48">
        <f>RR!W53</f>
        <v>-2633</v>
      </c>
      <c r="T44" s="48">
        <v>-3400</v>
      </c>
      <c r="U44" s="48">
        <v>-3731</v>
      </c>
      <c r="V44" s="48">
        <v>-4437</v>
      </c>
      <c r="W44" s="48">
        <f>RR!AB53</f>
        <v>909</v>
      </c>
      <c r="X44" s="72"/>
    </row>
    <row r="45" spans="2:24" s="2" customFormat="1">
      <c r="B45" s="9" t="s">
        <v>216</v>
      </c>
      <c r="C45" s="37">
        <v>0</v>
      </c>
      <c r="D45" s="37">
        <v>0</v>
      </c>
      <c r="E45" s="37">
        <v>0</v>
      </c>
      <c r="F45" s="37">
        <v>0</v>
      </c>
      <c r="G45" s="48">
        <v>-80</v>
      </c>
      <c r="H45" s="48">
        <v>-1486</v>
      </c>
      <c r="I45" s="48">
        <v>-2695</v>
      </c>
      <c r="J45" s="48">
        <v>-3079</v>
      </c>
      <c r="K45" s="48">
        <v>-654</v>
      </c>
      <c r="L45" s="48">
        <v>-1611</v>
      </c>
      <c r="M45" s="48">
        <v>-2802</v>
      </c>
      <c r="N45" s="48">
        <v>-3880</v>
      </c>
      <c r="O45" s="48">
        <v>-1085</v>
      </c>
      <c r="P45" s="126">
        <v>-2022</v>
      </c>
      <c r="Q45" s="48">
        <v>-2778</v>
      </c>
      <c r="R45" s="48">
        <v>-4127</v>
      </c>
      <c r="S45" s="48">
        <v>-1019</v>
      </c>
      <c r="T45" s="48">
        <v>-1596</v>
      </c>
      <c r="U45" s="48">
        <v>-2150</v>
      </c>
      <c r="V45" s="48">
        <v>-2658</v>
      </c>
      <c r="W45" s="48">
        <v>-500</v>
      </c>
      <c r="X45" s="72"/>
    </row>
    <row r="46" spans="2:24" s="2" customFormat="1">
      <c r="B46" s="9" t="s">
        <v>231</v>
      </c>
      <c r="C46" s="37">
        <v>0</v>
      </c>
      <c r="D46" s="37">
        <v>0</v>
      </c>
      <c r="E46" s="37">
        <v>0</v>
      </c>
      <c r="F46" s="37">
        <v>0</v>
      </c>
      <c r="G46" s="37">
        <v>0</v>
      </c>
      <c r="H46" s="37">
        <v>0</v>
      </c>
      <c r="I46" s="37">
        <v>0</v>
      </c>
      <c r="J46" s="37">
        <v>0</v>
      </c>
      <c r="K46" s="37">
        <v>0</v>
      </c>
      <c r="L46" s="37">
        <v>0</v>
      </c>
      <c r="M46" s="37">
        <v>0</v>
      </c>
      <c r="N46" s="160" t="s">
        <v>295</v>
      </c>
      <c r="O46" s="37">
        <v>0</v>
      </c>
      <c r="P46" s="37">
        <v>0</v>
      </c>
      <c r="Q46" s="37">
        <v>0</v>
      </c>
      <c r="R46" s="37">
        <v>0</v>
      </c>
      <c r="S46" s="37">
        <v>0</v>
      </c>
      <c r="T46" s="37">
        <v>0</v>
      </c>
      <c r="U46" s="37">
        <v>0</v>
      </c>
      <c r="V46" s="37">
        <v>0</v>
      </c>
      <c r="W46" s="37">
        <v>0</v>
      </c>
      <c r="X46" s="72"/>
    </row>
    <row r="47" spans="2:24" s="2" customFormat="1">
      <c r="B47" s="109" t="s">
        <v>232</v>
      </c>
      <c r="C47" s="37">
        <v>0</v>
      </c>
      <c r="D47" s="37">
        <v>0</v>
      </c>
      <c r="E47" s="37">
        <v>0</v>
      </c>
      <c r="F47" s="37">
        <v>0</v>
      </c>
      <c r="G47" s="37">
        <v>0</v>
      </c>
      <c r="H47" s="37">
        <v>0</v>
      </c>
      <c r="I47" s="37">
        <v>0</v>
      </c>
      <c r="J47" s="37">
        <v>0</v>
      </c>
      <c r="K47" s="37">
        <v>0</v>
      </c>
      <c r="L47" s="37">
        <v>0</v>
      </c>
      <c r="M47" s="37">
        <v>0</v>
      </c>
      <c r="N47" s="160" t="s">
        <v>295</v>
      </c>
      <c r="O47" s="37">
        <v>0</v>
      </c>
      <c r="P47" s="37">
        <v>0</v>
      </c>
      <c r="Q47" s="37">
        <v>0</v>
      </c>
      <c r="R47" s="37">
        <v>0</v>
      </c>
      <c r="S47" s="37">
        <v>0</v>
      </c>
      <c r="T47" s="37">
        <v>0</v>
      </c>
      <c r="U47" s="37">
        <v>0</v>
      </c>
      <c r="V47" s="37">
        <v>0</v>
      </c>
      <c r="W47" s="37">
        <v>0</v>
      </c>
      <c r="X47" s="72"/>
    </row>
    <row r="48" spans="2:24" s="2" customFormat="1">
      <c r="B48" s="9" t="s">
        <v>283</v>
      </c>
      <c r="C48" s="37">
        <v>0</v>
      </c>
      <c r="D48" s="48">
        <v>-1355</v>
      </c>
      <c r="E48" s="48">
        <v>-1355</v>
      </c>
      <c r="F48" s="48">
        <v>-1355</v>
      </c>
      <c r="G48" s="37">
        <v>0</v>
      </c>
      <c r="H48" s="48">
        <v>-1481</v>
      </c>
      <c r="I48" s="37">
        <v>-1481</v>
      </c>
      <c r="J48" s="37">
        <v>-1481</v>
      </c>
      <c r="K48" s="37">
        <v>0</v>
      </c>
      <c r="L48" s="48">
        <v>-1524</v>
      </c>
      <c r="M48" s="48">
        <v>-1524</v>
      </c>
      <c r="N48" s="48">
        <v>-1524</v>
      </c>
      <c r="O48" s="37">
        <v>0</v>
      </c>
      <c r="P48" s="48">
        <v>-1617</v>
      </c>
      <c r="Q48" s="48">
        <v>-1617</v>
      </c>
      <c r="R48" s="48">
        <v>-1617</v>
      </c>
      <c r="S48" s="37">
        <v>0</v>
      </c>
      <c r="T48" s="48">
        <v>-1719</v>
      </c>
      <c r="U48" s="48">
        <v>-1719</v>
      </c>
      <c r="V48" s="48">
        <v>-1719</v>
      </c>
      <c r="W48" s="37">
        <v>0</v>
      </c>
      <c r="X48" s="72"/>
    </row>
    <row r="49" spans="2:24" s="2" customFormat="1">
      <c r="B49" s="9" t="s">
        <v>254</v>
      </c>
      <c r="C49" s="37">
        <v>0</v>
      </c>
      <c r="D49" s="37">
        <v>0</v>
      </c>
      <c r="E49" s="37">
        <v>0</v>
      </c>
      <c r="F49" s="37">
        <v>0</v>
      </c>
      <c r="G49" s="37">
        <v>0</v>
      </c>
      <c r="H49" s="37">
        <v>0</v>
      </c>
      <c r="I49" s="37">
        <v>0</v>
      </c>
      <c r="J49" s="37">
        <v>0</v>
      </c>
      <c r="K49" s="37">
        <v>0</v>
      </c>
      <c r="L49" s="37">
        <v>0</v>
      </c>
      <c r="M49" s="37">
        <v>0</v>
      </c>
      <c r="N49" s="160" t="s">
        <v>295</v>
      </c>
      <c r="O49" s="37">
        <v>0</v>
      </c>
      <c r="P49" s="37">
        <v>0</v>
      </c>
      <c r="Q49" s="48">
        <v>1</v>
      </c>
      <c r="R49" s="48">
        <v>2</v>
      </c>
      <c r="S49" s="37">
        <v>1</v>
      </c>
      <c r="T49" s="37">
        <v>3</v>
      </c>
      <c r="U49" s="37">
        <v>4</v>
      </c>
      <c r="V49" s="48">
        <v>6</v>
      </c>
      <c r="W49" s="48">
        <v>1</v>
      </c>
      <c r="X49" s="72"/>
    </row>
    <row r="50" spans="2:24" s="2" customFormat="1">
      <c r="B50" s="9" t="s">
        <v>220</v>
      </c>
      <c r="C50" s="37">
        <v>0</v>
      </c>
      <c r="D50" s="37">
        <v>0</v>
      </c>
      <c r="E50" s="37">
        <v>0</v>
      </c>
      <c r="F50" s="37">
        <v>0</v>
      </c>
      <c r="G50" s="37">
        <v>0</v>
      </c>
      <c r="H50" s="48">
        <v>236</v>
      </c>
      <c r="I50" s="48">
        <v>243</v>
      </c>
      <c r="J50" s="48">
        <v>351</v>
      </c>
      <c r="K50" s="48">
        <v>44</v>
      </c>
      <c r="L50" s="48">
        <v>71</v>
      </c>
      <c r="M50" s="48">
        <v>174</v>
      </c>
      <c r="N50" s="48">
        <v>225</v>
      </c>
      <c r="O50" s="48">
        <v>38</v>
      </c>
      <c r="P50" s="126">
        <v>79</v>
      </c>
      <c r="Q50" s="48">
        <v>106</v>
      </c>
      <c r="R50" s="48">
        <v>172</v>
      </c>
      <c r="S50" s="48">
        <v>45</v>
      </c>
      <c r="T50" s="48">
        <v>95</v>
      </c>
      <c r="U50" s="48">
        <v>114</v>
      </c>
      <c r="V50" s="48">
        <v>142</v>
      </c>
      <c r="W50" s="48">
        <v>41</v>
      </c>
      <c r="X50" s="72"/>
    </row>
    <row r="51" spans="2:24" s="2" customFormat="1">
      <c r="B51" s="9" t="s">
        <v>177</v>
      </c>
      <c r="C51" s="161" t="s">
        <v>295</v>
      </c>
      <c r="D51" s="161" t="s">
        <v>295</v>
      </c>
      <c r="E51" s="161" t="s">
        <v>295</v>
      </c>
      <c r="F51" s="161">
        <v>0</v>
      </c>
      <c r="G51" s="161">
        <v>0</v>
      </c>
      <c r="H51" s="161">
        <v>0</v>
      </c>
      <c r="I51" s="160">
        <v>-2</v>
      </c>
      <c r="J51" s="160">
        <v>-2</v>
      </c>
      <c r="K51" s="160">
        <v>0</v>
      </c>
      <c r="L51" s="160">
        <v>-1</v>
      </c>
      <c r="M51" s="160">
        <v>-1</v>
      </c>
      <c r="N51" s="160">
        <v>-1</v>
      </c>
      <c r="O51" s="160">
        <v>1</v>
      </c>
      <c r="P51" s="160" t="s">
        <v>295</v>
      </c>
      <c r="Q51" s="160" t="s">
        <v>295</v>
      </c>
      <c r="R51" s="160">
        <v>-1</v>
      </c>
      <c r="S51" s="37">
        <v>0</v>
      </c>
      <c r="T51" s="37">
        <v>0</v>
      </c>
      <c r="U51" s="159" t="s">
        <v>295</v>
      </c>
      <c r="V51" s="160" t="s">
        <v>295</v>
      </c>
      <c r="W51" s="160" t="s">
        <v>295</v>
      </c>
      <c r="X51" s="72"/>
    </row>
    <row r="52" spans="2:24" s="2" customFormat="1" ht="15.75" customHeight="1">
      <c r="B52" s="12" t="s">
        <v>103</v>
      </c>
      <c r="C52" s="22">
        <f t="shared" ref="C52:H52" si="46">SUM(C41:C51)</f>
        <v>31027</v>
      </c>
      <c r="D52" s="22">
        <f t="shared" si="46"/>
        <v>30380</v>
      </c>
      <c r="E52" s="22">
        <f t="shared" si="46"/>
        <v>31725</v>
      </c>
      <c r="F52" s="22">
        <f t="shared" si="46"/>
        <v>32998</v>
      </c>
      <c r="G52" s="22">
        <f t="shared" si="46"/>
        <v>34722</v>
      </c>
      <c r="H52" s="22">
        <f t="shared" si="46"/>
        <v>35359</v>
      </c>
      <c r="I52" s="22">
        <f t="shared" ref="I52:J52" si="47">SUM(I41:I51)</f>
        <v>36952</v>
      </c>
      <c r="J52" s="22">
        <f t="shared" si="47"/>
        <v>37488</v>
      </c>
      <c r="K52" s="22">
        <f t="shared" ref="K52:L52" si="48">SUM(K41:K51)</f>
        <v>38579</v>
      </c>
      <c r="L52" s="22">
        <f t="shared" si="48"/>
        <v>44394</v>
      </c>
      <c r="M52" s="22">
        <f t="shared" ref="M52:O52" si="49">SUM(M41:M51)</f>
        <v>43843</v>
      </c>
      <c r="N52" s="22">
        <f>SUM(N41:N51)</f>
        <v>41727</v>
      </c>
      <c r="O52" s="22">
        <f t="shared" si="49"/>
        <v>43073</v>
      </c>
      <c r="P52" s="22">
        <f>SUM(P41:P51)</f>
        <v>41258</v>
      </c>
      <c r="Q52" s="22">
        <f>SUM(Q41:Q51)</f>
        <v>40440</v>
      </c>
      <c r="R52" s="22">
        <f>SUM(R41:R51)</f>
        <v>41569</v>
      </c>
      <c r="S52" s="22">
        <f t="shared" ref="S52:T52" si="50">SUM(S41:S51)</f>
        <v>38904</v>
      </c>
      <c r="T52" s="22">
        <f t="shared" si="50"/>
        <v>36816</v>
      </c>
      <c r="U52" s="22">
        <f t="shared" ref="U52" si="51">SUM(U41:U51)</f>
        <v>36847</v>
      </c>
      <c r="V52" s="22">
        <f>SUM(V41:V51)</f>
        <v>36499</v>
      </c>
      <c r="W52" s="22">
        <f>SUM(W41:W51)</f>
        <v>37928</v>
      </c>
      <c r="X52" s="72"/>
    </row>
    <row r="53" spans="2:24" s="2" customFormat="1">
      <c r="B53" s="134" t="s">
        <v>284</v>
      </c>
      <c r="C53" s="72"/>
      <c r="D53" s="72"/>
      <c r="E53" s="72"/>
      <c r="F53" s="72"/>
      <c r="G53" s="72"/>
      <c r="H53" s="72"/>
      <c r="I53" s="72"/>
      <c r="J53" s="72"/>
      <c r="K53" s="72"/>
      <c r="L53" s="72"/>
      <c r="M53" s="72"/>
      <c r="N53" s="72"/>
      <c r="O53" s="72"/>
      <c r="P53" s="72"/>
      <c r="Q53" s="72"/>
      <c r="R53" s="72"/>
      <c r="S53" s="72"/>
      <c r="T53" s="72"/>
      <c r="U53" s="72"/>
      <c r="V53" s="72"/>
      <c r="W53" s="72"/>
      <c r="X53" s="72"/>
    </row>
    <row r="54" spans="2:24" s="2" customFormat="1">
      <c r="B54" s="65"/>
      <c r="C54" s="72"/>
      <c r="V54" s="155"/>
      <c r="W54" s="155"/>
      <c r="X54" s="72"/>
    </row>
    <row r="55" spans="2:24" s="2" customFormat="1">
      <c r="B55" s="76"/>
      <c r="G55" s="76"/>
      <c r="H55" s="76"/>
      <c r="V55" s="155"/>
      <c r="W55" s="155"/>
      <c r="X55" s="72"/>
    </row>
    <row r="56" spans="2:24" s="2" customFormat="1">
      <c r="B56" s="29" t="s">
        <v>88</v>
      </c>
      <c r="C56" s="30" t="s">
        <v>62</v>
      </c>
      <c r="D56" s="30" t="s">
        <v>61</v>
      </c>
      <c r="E56" s="30" t="s">
        <v>60</v>
      </c>
      <c r="F56" s="30" t="s">
        <v>59</v>
      </c>
      <c r="G56" s="30" t="s">
        <v>62</v>
      </c>
      <c r="H56" s="30" t="s">
        <v>61</v>
      </c>
      <c r="I56" s="30" t="s">
        <v>60</v>
      </c>
      <c r="J56" s="30" t="s">
        <v>59</v>
      </c>
      <c r="K56" s="30" t="s">
        <v>62</v>
      </c>
      <c r="L56" s="30" t="s">
        <v>229</v>
      </c>
      <c r="M56" s="30" t="s">
        <v>238</v>
      </c>
      <c r="N56" s="30" t="s">
        <v>59</v>
      </c>
      <c r="O56" s="30" t="s">
        <v>62</v>
      </c>
      <c r="P56" s="30" t="str">
        <f>+P39</f>
        <v>30 jun</v>
      </c>
      <c r="Q56" s="30" t="str">
        <f>+Q39</f>
        <v>30 sep</v>
      </c>
      <c r="R56" s="30" t="str">
        <f>+R39</f>
        <v>31 dec</v>
      </c>
      <c r="S56" s="30" t="s">
        <v>62</v>
      </c>
      <c r="T56" s="30" t="s">
        <v>61</v>
      </c>
      <c r="U56" s="30" t="str">
        <f>U3</f>
        <v>30 sep</v>
      </c>
      <c r="V56" s="156" t="str">
        <f>+V39</f>
        <v>31 dec</v>
      </c>
      <c r="W56" s="156" t="str">
        <f>+$W$3</f>
        <v>31 mar</v>
      </c>
      <c r="X56" s="72"/>
    </row>
    <row r="57" spans="2:24" s="2" customFormat="1">
      <c r="B57" s="31"/>
      <c r="C57" s="31">
        <v>2021</v>
      </c>
      <c r="D57" s="31">
        <v>2021</v>
      </c>
      <c r="E57" s="31">
        <v>2021</v>
      </c>
      <c r="F57" s="31">
        <v>2021</v>
      </c>
      <c r="G57" s="31">
        <v>2022</v>
      </c>
      <c r="H57" s="31">
        <v>2022</v>
      </c>
      <c r="I57" s="31">
        <v>2022</v>
      </c>
      <c r="J57" s="31">
        <v>2022</v>
      </c>
      <c r="K57" s="31">
        <v>2023</v>
      </c>
      <c r="L57" s="31">
        <v>2023</v>
      </c>
      <c r="M57" s="31">
        <v>2023</v>
      </c>
      <c r="N57" s="31">
        <v>2023</v>
      </c>
      <c r="O57" s="31">
        <v>2024</v>
      </c>
      <c r="P57" s="31">
        <v>2024</v>
      </c>
      <c r="Q57" s="31">
        <v>2024</v>
      </c>
      <c r="R57" s="31">
        <v>2024</v>
      </c>
      <c r="S57" s="31">
        <f>+S40</f>
        <v>2025</v>
      </c>
      <c r="T57" s="31">
        <f>+T40</f>
        <v>2025</v>
      </c>
      <c r="U57" s="31">
        <f>+U40</f>
        <v>2025</v>
      </c>
      <c r="V57" s="31">
        <v>2025</v>
      </c>
      <c r="W57" s="156" t="s">
        <v>328</v>
      </c>
      <c r="X57" s="72"/>
    </row>
    <row r="58" spans="2:24" s="2" customFormat="1">
      <c r="B58" s="9" t="s">
        <v>75</v>
      </c>
      <c r="C58" s="48">
        <f t="shared" ref="C58:H58" si="52">C23</f>
        <v>31027</v>
      </c>
      <c r="D58" s="48">
        <f t="shared" si="52"/>
        <v>30380</v>
      </c>
      <c r="E58" s="48">
        <f t="shared" si="52"/>
        <v>31725</v>
      </c>
      <c r="F58" s="48">
        <f t="shared" si="52"/>
        <v>32998</v>
      </c>
      <c r="G58" s="48">
        <f t="shared" si="52"/>
        <v>34722</v>
      </c>
      <c r="H58" s="48">
        <f t="shared" si="52"/>
        <v>35359</v>
      </c>
      <c r="I58" s="48">
        <f t="shared" ref="I58:J58" si="53">I23</f>
        <v>36952</v>
      </c>
      <c r="J58" s="48">
        <f t="shared" si="53"/>
        <v>37488</v>
      </c>
      <c r="K58" s="48">
        <f t="shared" ref="K58:L58" si="54">K23</f>
        <v>38579</v>
      </c>
      <c r="L58" s="48">
        <f t="shared" si="54"/>
        <v>44394</v>
      </c>
      <c r="M58" s="48">
        <f t="shared" ref="M58:O58" si="55">M23</f>
        <v>43843</v>
      </c>
      <c r="N58" s="48">
        <f t="shared" si="55"/>
        <v>41727</v>
      </c>
      <c r="O58" s="48">
        <f t="shared" si="55"/>
        <v>43073</v>
      </c>
      <c r="P58" s="48">
        <f t="shared" ref="P58" si="56">P23</f>
        <v>41258</v>
      </c>
      <c r="Q58" s="48">
        <f>Q23</f>
        <v>40440</v>
      </c>
      <c r="R58" s="48">
        <f>R23</f>
        <v>41569</v>
      </c>
      <c r="S58" s="48">
        <f t="shared" ref="S58:T58" si="57">S23</f>
        <v>38904</v>
      </c>
      <c r="T58" s="48">
        <f t="shared" si="57"/>
        <v>36816</v>
      </c>
      <c r="U58" s="48">
        <f t="shared" ref="U58" si="58">U23</f>
        <v>36847</v>
      </c>
      <c r="V58" s="48">
        <f>V23</f>
        <v>36499</v>
      </c>
      <c r="W58" s="48">
        <f>W23</f>
        <v>37928</v>
      </c>
      <c r="X58" s="72"/>
    </row>
    <row r="59" spans="2:24" s="2" customFormat="1">
      <c r="B59" s="9" t="s">
        <v>248</v>
      </c>
      <c r="C59" s="48">
        <f t="shared" ref="C59:H59" si="59">C20</f>
        <v>55600</v>
      </c>
      <c r="D59" s="48">
        <f t="shared" si="59"/>
        <v>53446</v>
      </c>
      <c r="E59" s="48">
        <f t="shared" si="59"/>
        <v>55148</v>
      </c>
      <c r="F59" s="48">
        <f t="shared" si="59"/>
        <v>55640</v>
      </c>
      <c r="G59" s="48">
        <f t="shared" si="59"/>
        <v>57237</v>
      </c>
      <c r="H59" s="48">
        <f t="shared" si="59"/>
        <v>61976</v>
      </c>
      <c r="I59" s="48">
        <f t="shared" ref="I59:J59" si="60">I20</f>
        <v>65583</v>
      </c>
      <c r="J59" s="48">
        <f t="shared" si="60"/>
        <v>77066</v>
      </c>
      <c r="K59" s="48">
        <f t="shared" ref="K59:L59" si="61">K20</f>
        <v>77652</v>
      </c>
      <c r="L59" s="48">
        <f t="shared" si="61"/>
        <v>64818</v>
      </c>
      <c r="M59" s="48">
        <f t="shared" ref="M59:O59" si="62">M20</f>
        <v>63137</v>
      </c>
      <c r="N59" s="48">
        <f t="shared" si="62"/>
        <v>59503</v>
      </c>
      <c r="O59" s="48">
        <f t="shared" si="62"/>
        <v>59759</v>
      </c>
      <c r="P59" s="48">
        <f t="shared" ref="P59" si="63">P20</f>
        <v>58656</v>
      </c>
      <c r="Q59" s="48">
        <f>Q20</f>
        <v>58839</v>
      </c>
      <c r="R59" s="48">
        <f>R20</f>
        <v>60508</v>
      </c>
      <c r="S59" s="48">
        <f t="shared" ref="S59:T59" si="64">S20</f>
        <v>57865</v>
      </c>
      <c r="T59" s="48">
        <f t="shared" si="64"/>
        <v>57644</v>
      </c>
      <c r="U59" s="48">
        <f t="shared" ref="U59" si="65">U20</f>
        <v>57271</v>
      </c>
      <c r="V59" s="48">
        <f>V20</f>
        <v>55225</v>
      </c>
      <c r="W59" s="48">
        <f>W20</f>
        <v>58451</v>
      </c>
      <c r="X59" s="72"/>
    </row>
    <row r="60" spans="2:24" s="2" customFormat="1">
      <c r="B60" s="12" t="s">
        <v>21</v>
      </c>
      <c r="C60" s="41">
        <f t="shared" ref="C60:H60" si="66">C58/C59</f>
        <v>0.55803956834532376</v>
      </c>
      <c r="D60" s="41">
        <f t="shared" si="66"/>
        <v>0.56842420386932602</v>
      </c>
      <c r="E60" s="41">
        <f t="shared" si="66"/>
        <v>0.57527018205555958</v>
      </c>
      <c r="F60" s="41">
        <f t="shared" si="66"/>
        <v>0.59306254493170385</v>
      </c>
      <c r="G60" s="41">
        <f t="shared" si="66"/>
        <v>0.60663556790188167</v>
      </c>
      <c r="H60" s="41">
        <f t="shared" si="66"/>
        <v>0.57052730089066739</v>
      </c>
      <c r="I60" s="41">
        <f t="shared" ref="I60:J60" si="67">I58/I59</f>
        <v>0.56343869600353746</v>
      </c>
      <c r="J60" s="41">
        <f t="shared" si="67"/>
        <v>0.48644019411932632</v>
      </c>
      <c r="K60" s="41">
        <f t="shared" ref="K60:L60" si="68">K58/K59</f>
        <v>0.49681914181218773</v>
      </c>
      <c r="L60" s="115">
        <f t="shared" si="68"/>
        <v>0.68490234194205313</v>
      </c>
      <c r="M60" s="115">
        <f t="shared" ref="M60:O60" si="69">M58/M59</f>
        <v>0.69441056749607999</v>
      </c>
      <c r="N60" s="97">
        <f t="shared" si="69"/>
        <v>0.70125876006251786</v>
      </c>
      <c r="O60" s="41">
        <f t="shared" si="69"/>
        <v>0.72077846014826219</v>
      </c>
      <c r="P60" s="41">
        <f t="shared" ref="P60:Q60" si="70">P58/P59</f>
        <v>0.7033892525913803</v>
      </c>
      <c r="Q60" s="41">
        <f t="shared" si="70"/>
        <v>0.68729924029980116</v>
      </c>
      <c r="R60" s="41">
        <f t="shared" ref="R60:S60" si="71">R58/R59</f>
        <v>0.68700006610696107</v>
      </c>
      <c r="S60" s="41">
        <f t="shared" si="71"/>
        <v>0.67232351162187853</v>
      </c>
      <c r="T60" s="158">
        <f t="shared" ref="T60:V60" si="72">T58/T59</f>
        <v>0.63867878703767955</v>
      </c>
      <c r="U60" s="41">
        <f t="shared" si="72"/>
        <v>0.64337972097571194</v>
      </c>
      <c r="V60" s="158">
        <f t="shared" si="72"/>
        <v>0.66091444092349483</v>
      </c>
      <c r="W60" s="158">
        <f t="shared" ref="W60" si="73">W58/W59</f>
        <v>0.64888539118235788</v>
      </c>
      <c r="X60" s="72"/>
    </row>
    <row r="61" spans="2:24" s="2" customFormat="1">
      <c r="V61" s="155"/>
      <c r="W61" s="155"/>
      <c r="X61" s="72"/>
    </row>
    <row r="62" spans="2:24" s="2" customFormat="1">
      <c r="C62" s="8"/>
      <c r="V62" s="155"/>
      <c r="W62" s="155"/>
      <c r="X62" s="72"/>
    </row>
    <row r="63" spans="2:24" s="2" customFormat="1">
      <c r="B63" s="29" t="s">
        <v>89</v>
      </c>
      <c r="C63" s="30" t="s">
        <v>62</v>
      </c>
      <c r="D63" s="30" t="s">
        <v>61</v>
      </c>
      <c r="E63" s="30" t="s">
        <v>60</v>
      </c>
      <c r="F63" s="30" t="s">
        <v>59</v>
      </c>
      <c r="G63" s="30" t="s">
        <v>62</v>
      </c>
      <c r="H63" s="30" t="s">
        <v>61</v>
      </c>
      <c r="I63" s="30" t="s">
        <v>60</v>
      </c>
      <c r="J63" s="30" t="s">
        <v>59</v>
      </c>
      <c r="K63" s="30" t="s">
        <v>62</v>
      </c>
      <c r="L63" s="30" t="s">
        <v>229</v>
      </c>
      <c r="M63" s="30" t="s">
        <v>238</v>
      </c>
      <c r="N63" s="30" t="s">
        <v>59</v>
      </c>
      <c r="O63" s="30" t="s">
        <v>62</v>
      </c>
      <c r="P63" s="30" t="str">
        <f>+P56</f>
        <v>30 jun</v>
      </c>
      <c r="Q63" s="30" t="str">
        <f>+Q56</f>
        <v>30 sep</v>
      </c>
      <c r="R63" s="30" t="str">
        <f>+R56</f>
        <v>31 dec</v>
      </c>
      <c r="S63" s="30" t="s">
        <v>62</v>
      </c>
      <c r="T63" s="30" t="s">
        <v>61</v>
      </c>
      <c r="U63" s="30" t="str">
        <f>U3</f>
        <v>30 sep</v>
      </c>
      <c r="V63" s="156" t="str">
        <f>+V56</f>
        <v>31 dec</v>
      </c>
      <c r="W63" s="156" t="str">
        <f>+$W$3</f>
        <v>31 mar</v>
      </c>
      <c r="X63" s="72"/>
    </row>
    <row r="64" spans="2:24" s="2" customFormat="1">
      <c r="B64" s="31"/>
      <c r="C64" s="31">
        <v>2021</v>
      </c>
      <c r="D64" s="31">
        <v>2021</v>
      </c>
      <c r="E64" s="31">
        <v>2021</v>
      </c>
      <c r="F64" s="31">
        <v>2021</v>
      </c>
      <c r="G64" s="31">
        <v>2022</v>
      </c>
      <c r="H64" s="31">
        <v>2022</v>
      </c>
      <c r="I64" s="31">
        <v>2022</v>
      </c>
      <c r="J64" s="31">
        <v>2022</v>
      </c>
      <c r="K64" s="31">
        <v>2023</v>
      </c>
      <c r="L64" s="31">
        <v>2023</v>
      </c>
      <c r="M64" s="31">
        <v>2023</v>
      </c>
      <c r="N64" s="31">
        <v>2023</v>
      </c>
      <c r="O64" s="31">
        <v>2024</v>
      </c>
      <c r="P64" s="31">
        <v>2024</v>
      </c>
      <c r="Q64" s="31">
        <v>2024</v>
      </c>
      <c r="R64" s="31">
        <v>2024</v>
      </c>
      <c r="S64" s="31">
        <f>+S40</f>
        <v>2025</v>
      </c>
      <c r="T64" s="31">
        <f>+T40</f>
        <v>2025</v>
      </c>
      <c r="U64" s="31">
        <f>+U40</f>
        <v>2025</v>
      </c>
      <c r="V64" s="31">
        <v>2025</v>
      </c>
      <c r="W64" s="156" t="s">
        <v>328</v>
      </c>
      <c r="X64" s="72"/>
    </row>
    <row r="65" spans="2:24" s="2" customFormat="1">
      <c r="B65" s="9" t="s">
        <v>212</v>
      </c>
      <c r="C65" s="48">
        <v>3787</v>
      </c>
      <c r="D65" s="48">
        <v>3847</v>
      </c>
      <c r="E65" s="48">
        <v>3745</v>
      </c>
      <c r="F65" s="48">
        <v>3610</v>
      </c>
      <c r="G65" s="48">
        <v>4536</v>
      </c>
      <c r="H65" s="48">
        <v>5325</v>
      </c>
      <c r="I65" s="48">
        <v>5835</v>
      </c>
      <c r="J65" s="48">
        <v>5591</v>
      </c>
      <c r="K65" s="48">
        <v>6514</v>
      </c>
      <c r="L65" s="48">
        <v>5594</v>
      </c>
      <c r="M65" s="48">
        <v>5370</v>
      </c>
      <c r="N65" s="48">
        <v>4595</v>
      </c>
      <c r="O65" s="48">
        <v>5616</v>
      </c>
      <c r="P65" s="48">
        <v>5963</v>
      </c>
      <c r="Q65" s="48">
        <v>5829</v>
      </c>
      <c r="R65" s="48">
        <v>5721</v>
      </c>
      <c r="S65" s="48">
        <v>6076</v>
      </c>
      <c r="T65" s="48">
        <v>6436</v>
      </c>
      <c r="U65" s="48">
        <v>6137</v>
      </c>
      <c r="V65" s="48">
        <v>5597</v>
      </c>
      <c r="W65" s="48">
        <v>6414</v>
      </c>
      <c r="X65" s="72"/>
    </row>
    <row r="66" spans="2:24" s="2" customFormat="1">
      <c r="B66" s="9" t="s">
        <v>63</v>
      </c>
      <c r="C66" s="48">
        <v>5508</v>
      </c>
      <c r="D66" s="48">
        <v>5415</v>
      </c>
      <c r="E66" s="48">
        <v>5561</v>
      </c>
      <c r="F66" s="48">
        <v>5934</v>
      </c>
      <c r="G66" s="48">
        <f t="shared" ref="G66:O66" si="74">+G5</f>
        <v>6041</v>
      </c>
      <c r="H66" s="48">
        <f t="shared" si="74"/>
        <v>6445</v>
      </c>
      <c r="I66" s="48">
        <f t="shared" si="74"/>
        <v>6748</v>
      </c>
      <c r="J66" s="48">
        <f t="shared" si="74"/>
        <v>7589</v>
      </c>
      <c r="K66" s="48">
        <f t="shared" si="74"/>
        <v>7661</v>
      </c>
      <c r="L66" s="48">
        <f t="shared" si="74"/>
        <v>7892</v>
      </c>
      <c r="M66" s="48">
        <f t="shared" si="74"/>
        <v>7897</v>
      </c>
      <c r="N66" s="48">
        <f t="shared" si="74"/>
        <v>7757</v>
      </c>
      <c r="O66" s="48">
        <f t="shared" si="74"/>
        <v>8154</v>
      </c>
      <c r="P66" s="48">
        <f t="shared" ref="P66:Q66" si="75">+P5</f>
        <v>8393</v>
      </c>
      <c r="Q66" s="48">
        <f t="shared" si="75"/>
        <v>8481</v>
      </c>
      <c r="R66" s="48">
        <f t="shared" ref="R66:S66" si="76">+R5</f>
        <v>9306</v>
      </c>
      <c r="S66" s="48">
        <f t="shared" si="76"/>
        <v>8719</v>
      </c>
      <c r="T66" s="48">
        <f t="shared" ref="T66:V66" si="77">+T5</f>
        <v>8925</v>
      </c>
      <c r="U66" s="48">
        <f t="shared" si="77"/>
        <v>8950</v>
      </c>
      <c r="V66" s="48">
        <f t="shared" si="77"/>
        <v>8884</v>
      </c>
      <c r="W66" s="48">
        <f t="shared" ref="W66" si="78">+W5</f>
        <v>9139</v>
      </c>
      <c r="X66" s="72"/>
    </row>
    <row r="67" spans="2:24" s="2" customFormat="1">
      <c r="B67" s="9" t="s">
        <v>213</v>
      </c>
      <c r="C67" s="48">
        <v>1439</v>
      </c>
      <c r="D67" s="48">
        <v>1464</v>
      </c>
      <c r="E67" s="48">
        <v>1477</v>
      </c>
      <c r="F67" s="48">
        <v>1445</v>
      </c>
      <c r="G67" s="48">
        <f t="shared" ref="G67:O67" si="79">+G6</f>
        <v>1407</v>
      </c>
      <c r="H67" s="48">
        <f t="shared" si="79"/>
        <v>1420</v>
      </c>
      <c r="I67" s="48">
        <f t="shared" si="79"/>
        <v>1441</v>
      </c>
      <c r="J67" s="48">
        <f t="shared" si="79"/>
        <v>1507</v>
      </c>
      <c r="K67" s="48">
        <f t="shared" si="79"/>
        <v>1506</v>
      </c>
      <c r="L67" s="48">
        <f t="shared" si="79"/>
        <v>1555</v>
      </c>
      <c r="M67" s="48">
        <f t="shared" si="79"/>
        <v>1659</v>
      </c>
      <c r="N67" s="48">
        <f t="shared" si="79"/>
        <v>1538</v>
      </c>
      <c r="O67" s="48">
        <f t="shared" si="79"/>
        <v>1592</v>
      </c>
      <c r="P67" s="48">
        <f t="shared" ref="P67:Q67" si="80">+P6</f>
        <v>1597</v>
      </c>
      <c r="Q67" s="48">
        <f t="shared" si="80"/>
        <v>1679</v>
      </c>
      <c r="R67" s="48">
        <f t="shared" ref="R67:S67" si="81">+R6</f>
        <v>1758</v>
      </c>
      <c r="S67" s="48">
        <f t="shared" si="81"/>
        <v>1617</v>
      </c>
      <c r="T67" s="48">
        <f t="shared" ref="T67:V67" si="82">+T6</f>
        <v>1631</v>
      </c>
      <c r="U67" s="48">
        <f t="shared" si="82"/>
        <v>1592</v>
      </c>
      <c r="V67" s="48">
        <f t="shared" si="82"/>
        <v>1572</v>
      </c>
      <c r="W67" s="48">
        <f t="shared" ref="W67" si="83">+W6</f>
        <v>1652</v>
      </c>
      <c r="X67" s="72"/>
    </row>
    <row r="68" spans="2:24" s="2" customFormat="1">
      <c r="B68" s="9" t="s">
        <v>214</v>
      </c>
      <c r="C68" s="48">
        <v>15223</v>
      </c>
      <c r="D68" s="48">
        <v>14923</v>
      </c>
      <c r="E68" s="48">
        <v>15153</v>
      </c>
      <c r="F68" s="48">
        <v>15558</v>
      </c>
      <c r="G68" s="48">
        <f>+G7+G8+1</f>
        <v>15750</v>
      </c>
      <c r="H68" s="48">
        <f>+H7+H8+1</f>
        <v>17001</v>
      </c>
      <c r="I68" s="48">
        <f>+I7+I8</f>
        <v>17780</v>
      </c>
      <c r="J68" s="48">
        <f>+J7+J8-1</f>
        <v>26561</v>
      </c>
      <c r="K68" s="48">
        <f t="shared" ref="K68:P68" si="84">+K7+K8</f>
        <v>26553</v>
      </c>
      <c r="L68" s="48">
        <f t="shared" si="84"/>
        <v>28011</v>
      </c>
      <c r="M68" s="48">
        <f t="shared" si="84"/>
        <v>27639</v>
      </c>
      <c r="N68" s="48">
        <f t="shared" si="84"/>
        <v>25824</v>
      </c>
      <c r="O68" s="48">
        <f t="shared" si="84"/>
        <v>27265</v>
      </c>
      <c r="P68" s="48">
        <f t="shared" si="84"/>
        <v>27805</v>
      </c>
      <c r="Q68" s="48">
        <f t="shared" ref="Q68:S68" si="85">+Q7+Q8</f>
        <v>30828</v>
      </c>
      <c r="R68" s="48">
        <f t="shared" si="85"/>
        <v>32539</v>
      </c>
      <c r="S68" s="48">
        <f t="shared" si="85"/>
        <v>30334</v>
      </c>
      <c r="T68" s="48">
        <f t="shared" ref="T68:V68" si="86">+T7+T8</f>
        <v>29971</v>
      </c>
      <c r="U68" s="48">
        <f t="shared" si="86"/>
        <v>29660</v>
      </c>
      <c r="V68" s="48">
        <f t="shared" si="86"/>
        <v>28906</v>
      </c>
      <c r="W68" s="48">
        <f t="shared" ref="W68" si="87">+W7+W8</f>
        <v>29794</v>
      </c>
      <c r="X68" s="72"/>
    </row>
    <row r="69" spans="2:24" s="2" customFormat="1">
      <c r="B69" s="9" t="s">
        <v>215</v>
      </c>
      <c r="C69" s="48">
        <v>18</v>
      </c>
      <c r="D69" s="48">
        <v>10</v>
      </c>
      <c r="E69" s="48">
        <v>9</v>
      </c>
      <c r="F69" s="48">
        <v>10</v>
      </c>
      <c r="G69" s="48">
        <v>52</v>
      </c>
      <c r="H69" s="48">
        <v>56</v>
      </c>
      <c r="I69" s="48">
        <v>58</v>
      </c>
      <c r="J69" s="48">
        <v>61</v>
      </c>
      <c r="K69" s="48">
        <f t="shared" ref="K69:P69" si="88">+K9</f>
        <v>65</v>
      </c>
      <c r="L69" s="48">
        <f t="shared" si="88"/>
        <v>59</v>
      </c>
      <c r="M69" s="48">
        <f t="shared" si="88"/>
        <v>57</v>
      </c>
      <c r="N69" s="48">
        <f t="shared" si="88"/>
        <v>54</v>
      </c>
      <c r="O69" s="48">
        <f t="shared" si="88"/>
        <v>56</v>
      </c>
      <c r="P69" s="48">
        <f t="shared" si="88"/>
        <v>57</v>
      </c>
      <c r="Q69" s="48">
        <f t="shared" ref="Q69:S69" si="89">+Q9</f>
        <v>57</v>
      </c>
      <c r="R69" s="48">
        <f t="shared" si="89"/>
        <v>57</v>
      </c>
      <c r="S69" s="48">
        <f t="shared" si="89"/>
        <v>57</v>
      </c>
      <c r="T69" s="48">
        <f t="shared" ref="T69:V69" si="90">+T9</f>
        <v>14</v>
      </c>
      <c r="U69" s="48">
        <f t="shared" si="90"/>
        <v>14</v>
      </c>
      <c r="V69" s="48">
        <f t="shared" si="90"/>
        <v>13</v>
      </c>
      <c r="W69" s="48">
        <f t="shared" ref="W69" si="91">+W9</f>
        <v>13</v>
      </c>
      <c r="X69" s="72"/>
    </row>
    <row r="70" spans="2:24" s="2" customFormat="1">
      <c r="B70" s="12" t="s">
        <v>166</v>
      </c>
      <c r="C70" s="13">
        <f t="shared" ref="C70:H70" si="92">SUM(C65:C69)</f>
        <v>25975</v>
      </c>
      <c r="D70" s="13">
        <f t="shared" si="92"/>
        <v>25659</v>
      </c>
      <c r="E70" s="13">
        <f t="shared" si="92"/>
        <v>25945</v>
      </c>
      <c r="F70" s="13">
        <f t="shared" si="92"/>
        <v>26557</v>
      </c>
      <c r="G70" s="13">
        <f t="shared" si="92"/>
        <v>27786</v>
      </c>
      <c r="H70" s="13">
        <f t="shared" si="92"/>
        <v>30247</v>
      </c>
      <c r="I70" s="13">
        <f t="shared" ref="I70:J70" si="93">SUM(I65:I69)</f>
        <v>31862</v>
      </c>
      <c r="J70" s="13">
        <f t="shared" si="93"/>
        <v>41309</v>
      </c>
      <c r="K70" s="13">
        <f t="shared" ref="K70:L70" si="94">SUM(K65:K69)</f>
        <v>42299</v>
      </c>
      <c r="L70" s="13">
        <f t="shared" si="94"/>
        <v>43111</v>
      </c>
      <c r="M70" s="13">
        <f t="shared" ref="M70:O70" si="95">SUM(M65:M69)</f>
        <v>42622</v>
      </c>
      <c r="N70" s="13">
        <f t="shared" si="95"/>
        <v>39768</v>
      </c>
      <c r="O70" s="13">
        <f t="shared" si="95"/>
        <v>42683</v>
      </c>
      <c r="P70" s="13">
        <f t="shared" ref="P70:Q70" si="96">SUM(P65:P69)</f>
        <v>43815</v>
      </c>
      <c r="Q70" s="13">
        <f t="shared" si="96"/>
        <v>46874</v>
      </c>
      <c r="R70" s="13">
        <f t="shared" ref="R70:S70" si="97">SUM(R65:R69)</f>
        <v>49381</v>
      </c>
      <c r="S70" s="13">
        <f t="shared" si="97"/>
        <v>46803</v>
      </c>
      <c r="T70" s="13">
        <f t="shared" ref="T70:V70" si="98">SUM(T65:T69)</f>
        <v>46977</v>
      </c>
      <c r="U70" s="13">
        <f t="shared" si="98"/>
        <v>46353</v>
      </c>
      <c r="V70" s="13">
        <f t="shared" si="98"/>
        <v>44972</v>
      </c>
      <c r="W70" s="13">
        <f t="shared" ref="W70" si="99">SUM(W65:W69)</f>
        <v>47012</v>
      </c>
      <c r="X70" s="72"/>
    </row>
    <row r="71" spans="2:24" s="2" customFormat="1">
      <c r="V71" s="155"/>
      <c r="W71" s="155"/>
      <c r="X71" s="72"/>
    </row>
    <row r="72" spans="2:24" s="2" customFormat="1">
      <c r="V72" s="155"/>
      <c r="W72" s="155"/>
      <c r="X72" s="72"/>
    </row>
    <row r="73" spans="2:24" s="2" customFormat="1">
      <c r="C73" s="72"/>
      <c r="D73" s="72"/>
      <c r="E73" s="72"/>
      <c r="F73" s="72"/>
      <c r="G73" s="72"/>
      <c r="H73" s="72"/>
      <c r="I73" s="72"/>
      <c r="J73" s="72"/>
      <c r="K73" s="72"/>
      <c r="L73" s="72"/>
      <c r="M73" s="72"/>
      <c r="N73" s="72"/>
      <c r="O73" s="72"/>
      <c r="S73" s="72"/>
      <c r="T73" s="72"/>
      <c r="U73" s="72"/>
      <c r="V73" s="155"/>
      <c r="W73" s="155"/>
      <c r="X73" s="72"/>
    </row>
    <row r="74" spans="2:24" s="2" customFormat="1">
      <c r="V74" s="155"/>
      <c r="W74" s="155"/>
      <c r="X74" s="72"/>
    </row>
    <row r="75" spans="2:24" s="2" customFormat="1">
      <c r="V75" s="155"/>
      <c r="W75" s="155"/>
      <c r="X75" s="72"/>
    </row>
    <row r="76" spans="2:24" s="2" customFormat="1">
      <c r="V76" s="155"/>
      <c r="W76" s="155"/>
      <c r="X76" s="72"/>
    </row>
    <row r="77" spans="2:24" s="2" customFormat="1">
      <c r="V77" s="155"/>
      <c r="W77" s="155"/>
      <c r="X77" s="72"/>
    </row>
    <row r="78" spans="2:24" s="2" customFormat="1">
      <c r="V78" s="155"/>
      <c r="W78" s="155"/>
      <c r="X78" s="72"/>
    </row>
    <row r="79" spans="2:24" s="2" customFormat="1">
      <c r="V79" s="155"/>
      <c r="W79" s="155"/>
      <c r="X79" s="72"/>
    </row>
    <row r="80" spans="2:24" s="2" customFormat="1">
      <c r="V80" s="155"/>
      <c r="W80" s="155"/>
      <c r="X80" s="72"/>
    </row>
    <row r="81" spans="22:24" s="2" customFormat="1">
      <c r="V81" s="155"/>
      <c r="W81" s="155"/>
      <c r="X81" s="72"/>
    </row>
    <row r="82" spans="22:24" s="2" customFormat="1">
      <c r="V82" s="155"/>
      <c r="W82" s="155"/>
      <c r="X82" s="72"/>
    </row>
    <row r="83" spans="22:24" s="2" customFormat="1">
      <c r="V83" s="155"/>
      <c r="W83" s="155"/>
      <c r="X83" s="72"/>
    </row>
    <row r="84" spans="22:24" s="2" customFormat="1">
      <c r="V84" s="155"/>
      <c r="W84" s="155"/>
      <c r="X84" s="72"/>
    </row>
    <row r="85" spans="22:24" s="2" customFormat="1">
      <c r="V85" s="155"/>
      <c r="W85" s="155"/>
      <c r="X85" s="72"/>
    </row>
    <row r="86" spans="22:24" s="2" customFormat="1">
      <c r="V86" s="155"/>
      <c r="W86" s="155"/>
      <c r="X86" s="72"/>
    </row>
    <row r="87" spans="22:24" s="2" customFormat="1">
      <c r="V87" s="155"/>
      <c r="W87" s="155"/>
      <c r="X87" s="72"/>
    </row>
    <row r="88" spans="22:24" s="2" customFormat="1">
      <c r="V88" s="155"/>
      <c r="W88" s="155"/>
      <c r="X88" s="72"/>
    </row>
    <row r="89" spans="22:24" s="2" customFormat="1">
      <c r="V89" s="155"/>
      <c r="W89" s="155"/>
      <c r="X89" s="72"/>
    </row>
    <row r="90" spans="22:24" s="2" customFormat="1">
      <c r="V90" s="155"/>
      <c r="W90" s="155"/>
      <c r="X90" s="72"/>
    </row>
    <row r="91" spans="22:24" s="2" customFormat="1">
      <c r="V91" s="155"/>
      <c r="W91" s="155"/>
      <c r="X91" s="72"/>
    </row>
    <row r="92" spans="22:24" s="2" customFormat="1">
      <c r="V92" s="155"/>
      <c r="W92" s="155"/>
      <c r="X92" s="72"/>
    </row>
    <row r="93" spans="22:24" s="2" customFormat="1">
      <c r="V93" s="155"/>
      <c r="W93" s="155"/>
      <c r="X93" s="72"/>
    </row>
    <row r="94" spans="22:24" s="2" customFormat="1">
      <c r="V94" s="155"/>
      <c r="W94" s="155"/>
      <c r="X94" s="72"/>
    </row>
    <row r="95" spans="22:24" s="2" customFormat="1">
      <c r="V95" s="155"/>
      <c r="W95" s="155"/>
      <c r="X95" s="72"/>
    </row>
    <row r="96" spans="22:24" s="2" customFormat="1">
      <c r="V96" s="155"/>
      <c r="W96" s="155"/>
      <c r="X96" s="72"/>
    </row>
    <row r="97" spans="22:24" s="2" customFormat="1">
      <c r="V97" s="155"/>
      <c r="W97" s="155"/>
      <c r="X97" s="72"/>
    </row>
    <row r="98" spans="22:24" s="2" customFormat="1">
      <c r="V98" s="155"/>
      <c r="W98" s="155"/>
      <c r="X98" s="72"/>
    </row>
    <row r="99" spans="22:24" s="2" customFormat="1">
      <c r="V99" s="155"/>
      <c r="W99" s="155"/>
      <c r="X99" s="72"/>
    </row>
    <row r="100" spans="22:24" s="2" customFormat="1">
      <c r="V100" s="155"/>
      <c r="W100" s="155"/>
      <c r="X100" s="72"/>
    </row>
    <row r="101" spans="22:24" s="2" customFormat="1">
      <c r="V101" s="155"/>
      <c r="W101" s="155"/>
      <c r="X101" s="72"/>
    </row>
    <row r="102" spans="22:24" s="2" customFormat="1">
      <c r="V102" s="155"/>
      <c r="W102" s="155"/>
      <c r="X102" s="72"/>
    </row>
    <row r="103" spans="22:24" s="2" customFormat="1">
      <c r="V103" s="155"/>
      <c r="W103" s="155"/>
      <c r="X103" s="72"/>
    </row>
    <row r="104" spans="22:24" s="2" customFormat="1">
      <c r="V104" s="155"/>
      <c r="W104" s="155"/>
      <c r="X104" s="72"/>
    </row>
    <row r="105" spans="22:24" s="2" customFormat="1">
      <c r="V105" s="155"/>
      <c r="W105" s="155"/>
      <c r="X105" s="72"/>
    </row>
    <row r="106" spans="22:24" s="2" customFormat="1">
      <c r="V106" s="155"/>
      <c r="W106" s="155"/>
      <c r="X106" s="72"/>
    </row>
    <row r="107" spans="22:24" s="2" customFormat="1">
      <c r="V107" s="155"/>
      <c r="W107" s="155"/>
      <c r="X107" s="72"/>
    </row>
    <row r="108" spans="22:24" s="2" customFormat="1">
      <c r="V108" s="155"/>
      <c r="W108" s="155"/>
      <c r="X108" s="72"/>
    </row>
    <row r="109" spans="22:24" s="2" customFormat="1">
      <c r="V109" s="155"/>
      <c r="W109" s="155"/>
      <c r="X109" s="72"/>
    </row>
    <row r="110" spans="22:24" s="2" customFormat="1">
      <c r="V110" s="155"/>
      <c r="W110" s="155"/>
      <c r="X110" s="72"/>
    </row>
    <row r="111" spans="22:24" s="2" customFormat="1">
      <c r="V111" s="155"/>
      <c r="W111" s="155"/>
      <c r="X111" s="72"/>
    </row>
    <row r="112" spans="22:24" s="2" customFormat="1">
      <c r="V112" s="155"/>
      <c r="W112" s="155"/>
      <c r="X112" s="72"/>
    </row>
    <row r="113" spans="22:24" s="2" customFormat="1">
      <c r="V113" s="155"/>
      <c r="W113" s="155"/>
      <c r="X113" s="72"/>
    </row>
    <row r="114" spans="22:24" s="2" customFormat="1">
      <c r="V114" s="155"/>
      <c r="W114" s="155"/>
      <c r="X114" s="72"/>
    </row>
    <row r="115" spans="22:24" s="2" customFormat="1">
      <c r="V115" s="155"/>
      <c r="W115" s="155"/>
      <c r="X115" s="72"/>
    </row>
    <row r="116" spans="22:24" s="2" customFormat="1">
      <c r="V116" s="155"/>
      <c r="W116" s="155"/>
      <c r="X116" s="72"/>
    </row>
    <row r="117" spans="22:24" s="2" customFormat="1">
      <c r="V117" s="155"/>
      <c r="W117" s="155"/>
      <c r="X117" s="72"/>
    </row>
    <row r="118" spans="22:24" s="2" customFormat="1">
      <c r="V118" s="155"/>
      <c r="W118" s="155"/>
      <c r="X118" s="72"/>
    </row>
    <row r="119" spans="22:24" s="2" customFormat="1">
      <c r="V119" s="155"/>
      <c r="W119" s="155"/>
      <c r="X119" s="72"/>
    </row>
    <row r="120" spans="22:24" s="2" customFormat="1">
      <c r="V120" s="155"/>
      <c r="W120" s="155"/>
      <c r="X120" s="72"/>
    </row>
    <row r="121" spans="22:24" s="2" customFormat="1">
      <c r="V121" s="155"/>
      <c r="W121" s="155"/>
      <c r="X121" s="72"/>
    </row>
    <row r="122" spans="22:24" s="2" customFormat="1">
      <c r="V122" s="155"/>
      <c r="W122" s="155"/>
      <c r="X122" s="72"/>
    </row>
    <row r="123" spans="22:24" s="2" customFormat="1">
      <c r="V123" s="155"/>
      <c r="W123" s="155"/>
      <c r="X123" s="72"/>
    </row>
    <row r="124" spans="22:24" s="2" customFormat="1">
      <c r="V124" s="155"/>
      <c r="W124" s="155"/>
      <c r="X124" s="72"/>
    </row>
    <row r="125" spans="22:24" s="2" customFormat="1">
      <c r="V125" s="155"/>
      <c r="W125" s="155"/>
      <c r="X125" s="72"/>
    </row>
    <row r="126" spans="22:24" s="2" customFormat="1">
      <c r="V126" s="155"/>
      <c r="W126" s="155"/>
      <c r="X126" s="72"/>
    </row>
    <row r="127" spans="22:24" s="2" customFormat="1">
      <c r="V127" s="155"/>
      <c r="W127" s="155"/>
      <c r="X127" s="72"/>
    </row>
    <row r="128" spans="22:24" s="2" customFormat="1">
      <c r="V128" s="155"/>
      <c r="W128" s="155"/>
      <c r="X128" s="72"/>
    </row>
    <row r="129" spans="22:24" s="2" customFormat="1">
      <c r="V129" s="155"/>
      <c r="W129" s="155"/>
      <c r="X129" s="72"/>
    </row>
    <row r="130" spans="22:24" s="2" customFormat="1">
      <c r="V130" s="155"/>
      <c r="W130" s="155"/>
      <c r="X130" s="72"/>
    </row>
    <row r="131" spans="22:24" s="2" customFormat="1">
      <c r="V131" s="155"/>
      <c r="W131" s="155"/>
      <c r="X131" s="72"/>
    </row>
    <row r="132" spans="22:24" s="2" customFormat="1">
      <c r="V132" s="155"/>
      <c r="W132" s="155"/>
      <c r="X132" s="72"/>
    </row>
    <row r="133" spans="22:24" s="2" customFormat="1">
      <c r="V133" s="155"/>
      <c r="W133" s="155"/>
      <c r="X133" s="72"/>
    </row>
    <row r="134" spans="22:24" s="2" customFormat="1">
      <c r="V134" s="155"/>
      <c r="W134" s="155"/>
      <c r="X134" s="72"/>
    </row>
    <row r="135" spans="22:24" s="2" customFormat="1">
      <c r="V135" s="155"/>
      <c r="W135" s="155"/>
      <c r="X135" s="72"/>
    </row>
    <row r="136" spans="22:24" s="2" customFormat="1">
      <c r="V136" s="155"/>
      <c r="W136" s="155"/>
      <c r="X136" s="72"/>
    </row>
    <row r="137" spans="22:24" s="2" customFormat="1">
      <c r="V137" s="155"/>
      <c r="W137" s="155"/>
      <c r="X137" s="72"/>
    </row>
    <row r="138" spans="22:24" s="2" customFormat="1">
      <c r="V138" s="155"/>
      <c r="W138" s="155"/>
      <c r="X138" s="72"/>
    </row>
    <row r="139" spans="22:24" s="2" customFormat="1">
      <c r="V139" s="155"/>
      <c r="W139" s="155"/>
      <c r="X139" s="72"/>
    </row>
    <row r="140" spans="22:24" s="2" customFormat="1">
      <c r="V140" s="155"/>
      <c r="W140" s="155"/>
      <c r="X140" s="72"/>
    </row>
    <row r="141" spans="22:24" s="2" customFormat="1">
      <c r="V141" s="155"/>
      <c r="W141" s="155"/>
      <c r="X141" s="72"/>
    </row>
    <row r="142" spans="22:24" s="2" customFormat="1">
      <c r="V142" s="155"/>
      <c r="W142" s="155"/>
      <c r="X142" s="72"/>
    </row>
    <row r="143" spans="22:24" s="2" customFormat="1">
      <c r="V143" s="155"/>
      <c r="W143" s="155"/>
      <c r="X143" s="72"/>
    </row>
    <row r="144" spans="22:24" s="2" customFormat="1">
      <c r="V144" s="155"/>
      <c r="W144" s="155"/>
      <c r="X144" s="72"/>
    </row>
    <row r="145" spans="22:24" s="2" customFormat="1">
      <c r="V145" s="155"/>
      <c r="W145" s="155"/>
      <c r="X145" s="72"/>
    </row>
    <row r="146" spans="22:24" s="2" customFormat="1">
      <c r="V146" s="155"/>
      <c r="W146" s="155"/>
      <c r="X146" s="72"/>
    </row>
    <row r="147" spans="22:24" s="2" customFormat="1">
      <c r="V147" s="155"/>
      <c r="W147" s="155"/>
      <c r="X147" s="72"/>
    </row>
    <row r="148" spans="22:24" s="2" customFormat="1">
      <c r="V148" s="155"/>
      <c r="W148" s="155"/>
      <c r="X148" s="72"/>
    </row>
    <row r="149" spans="22:24" s="2" customFormat="1">
      <c r="V149" s="155"/>
      <c r="W149" s="155"/>
      <c r="X149" s="72"/>
    </row>
    <row r="150" spans="22:24" s="2" customFormat="1">
      <c r="V150" s="155"/>
      <c r="W150" s="155"/>
      <c r="X150" s="72"/>
    </row>
    <row r="151" spans="22:24" s="2" customFormat="1">
      <c r="V151" s="155"/>
      <c r="W151" s="155"/>
      <c r="X151" s="72"/>
    </row>
    <row r="152" spans="22:24" s="2" customFormat="1">
      <c r="V152" s="155"/>
      <c r="W152" s="155"/>
      <c r="X152" s="72"/>
    </row>
    <row r="153" spans="22:24" s="2" customFormat="1">
      <c r="V153" s="155"/>
      <c r="W153" s="155"/>
      <c r="X153" s="72"/>
    </row>
    <row r="154" spans="22:24" s="2" customFormat="1">
      <c r="V154" s="155"/>
      <c r="W154" s="155"/>
      <c r="X154" s="72"/>
    </row>
    <row r="155" spans="22:24" s="2" customFormat="1">
      <c r="V155" s="155"/>
      <c r="W155" s="155"/>
      <c r="X155" s="72"/>
    </row>
    <row r="156" spans="22:24" s="2" customFormat="1">
      <c r="V156" s="155"/>
      <c r="W156" s="155"/>
      <c r="X156" s="72"/>
    </row>
    <row r="157" spans="22:24" s="2" customFormat="1">
      <c r="V157" s="155"/>
      <c r="W157" s="155"/>
      <c r="X157" s="72"/>
    </row>
    <row r="158" spans="22:24" s="2" customFormat="1">
      <c r="V158" s="155"/>
      <c r="W158" s="155"/>
      <c r="X158" s="72"/>
    </row>
    <row r="159" spans="22:24" s="2" customFormat="1">
      <c r="V159" s="155"/>
      <c r="W159" s="155"/>
      <c r="X159" s="72"/>
    </row>
    <row r="160" spans="22:24" s="2" customFormat="1">
      <c r="V160" s="155"/>
      <c r="W160" s="155"/>
      <c r="X160" s="72"/>
    </row>
    <row r="161" spans="22:24" s="2" customFormat="1">
      <c r="V161" s="155"/>
      <c r="W161" s="155"/>
      <c r="X161" s="72"/>
    </row>
    <row r="162" spans="22:24" s="2" customFormat="1">
      <c r="V162" s="155"/>
      <c r="W162" s="155"/>
      <c r="X162" s="72"/>
    </row>
    <row r="163" spans="22:24" s="2" customFormat="1">
      <c r="V163" s="155"/>
      <c r="W163" s="155"/>
      <c r="X163" s="72"/>
    </row>
    <row r="164" spans="22:24" s="2" customFormat="1">
      <c r="V164" s="155"/>
      <c r="W164" s="155"/>
      <c r="X164" s="72"/>
    </row>
    <row r="165" spans="22:24" s="2" customFormat="1">
      <c r="V165" s="155"/>
      <c r="W165" s="155"/>
      <c r="X165" s="72"/>
    </row>
    <row r="166" spans="22:24" s="2" customFormat="1">
      <c r="V166" s="155"/>
      <c r="W166" s="155"/>
      <c r="X166" s="72"/>
    </row>
    <row r="167" spans="22:24" s="2" customFormat="1">
      <c r="V167" s="155"/>
      <c r="W167" s="155"/>
      <c r="X167" s="72"/>
    </row>
    <row r="168" spans="22:24" s="2" customFormat="1">
      <c r="V168" s="155"/>
      <c r="W168" s="155"/>
      <c r="X168" s="72"/>
    </row>
    <row r="169" spans="22:24" s="2" customFormat="1">
      <c r="V169" s="155"/>
      <c r="W169" s="155"/>
      <c r="X169" s="72"/>
    </row>
    <row r="170" spans="22:24" s="2" customFormat="1">
      <c r="V170" s="155"/>
      <c r="W170" s="155"/>
      <c r="X170" s="72"/>
    </row>
    <row r="171" spans="22:24" s="2" customFormat="1">
      <c r="V171" s="155"/>
      <c r="W171" s="155"/>
      <c r="X171" s="72"/>
    </row>
    <row r="172" spans="22:24" s="2" customFormat="1">
      <c r="V172" s="155"/>
      <c r="W172" s="155"/>
      <c r="X172" s="72"/>
    </row>
    <row r="173" spans="22:24" s="2" customFormat="1">
      <c r="V173" s="155"/>
      <c r="W173" s="155"/>
      <c r="X173" s="72"/>
    </row>
    <row r="174" spans="22:24" s="2" customFormat="1">
      <c r="V174" s="155"/>
      <c r="W174" s="155"/>
      <c r="X174" s="72"/>
    </row>
    <row r="175" spans="22:24" s="2" customFormat="1">
      <c r="V175" s="155"/>
      <c r="W175" s="155"/>
      <c r="X175" s="72"/>
    </row>
    <row r="176" spans="22:24" s="2" customFormat="1">
      <c r="V176" s="155"/>
      <c r="W176" s="155"/>
      <c r="X176" s="72"/>
    </row>
    <row r="177" spans="22:24" s="2" customFormat="1">
      <c r="V177" s="155"/>
      <c r="W177" s="155"/>
      <c r="X177" s="72"/>
    </row>
    <row r="178" spans="22:24" s="2" customFormat="1">
      <c r="V178" s="155"/>
      <c r="W178" s="155"/>
      <c r="X178" s="72"/>
    </row>
    <row r="179" spans="22:24" s="2" customFormat="1">
      <c r="V179" s="155"/>
      <c r="W179" s="155"/>
      <c r="X179" s="72"/>
    </row>
    <row r="180" spans="22:24" s="2" customFormat="1">
      <c r="V180" s="155"/>
      <c r="W180" s="155"/>
      <c r="X180" s="72"/>
    </row>
    <row r="181" spans="22:24" s="2" customFormat="1">
      <c r="V181" s="155"/>
      <c r="W181" s="155"/>
      <c r="X181" s="72"/>
    </row>
    <row r="182" spans="22:24" s="2" customFormat="1">
      <c r="V182" s="155"/>
      <c r="W182" s="155"/>
      <c r="X182" s="72"/>
    </row>
    <row r="183" spans="22:24" s="2" customFormat="1">
      <c r="V183" s="155"/>
      <c r="W183" s="155"/>
      <c r="X183" s="72"/>
    </row>
    <row r="184" spans="22:24" s="2" customFormat="1">
      <c r="V184" s="155"/>
      <c r="W184" s="155"/>
      <c r="X184" s="72"/>
    </row>
    <row r="185" spans="22:24" s="2" customFormat="1">
      <c r="V185" s="155"/>
      <c r="W185" s="155"/>
      <c r="X185" s="72"/>
    </row>
    <row r="186" spans="22:24" s="2" customFormat="1">
      <c r="V186" s="155"/>
      <c r="W186" s="155"/>
      <c r="X186" s="72"/>
    </row>
    <row r="187" spans="22:24" s="2" customFormat="1">
      <c r="V187" s="155"/>
      <c r="W187" s="155"/>
      <c r="X187" s="72"/>
    </row>
    <row r="188" spans="22:24" s="2" customFormat="1">
      <c r="V188" s="155"/>
      <c r="W188" s="155"/>
      <c r="X188" s="72"/>
    </row>
    <row r="189" spans="22:24" s="2" customFormat="1">
      <c r="V189" s="155"/>
      <c r="W189" s="155"/>
      <c r="X189" s="72"/>
    </row>
    <row r="190" spans="22:24" s="2" customFormat="1">
      <c r="V190" s="155"/>
      <c r="W190" s="155"/>
      <c r="X190" s="72"/>
    </row>
    <row r="191" spans="22:24" s="2" customFormat="1">
      <c r="V191" s="155"/>
      <c r="W191" s="155"/>
      <c r="X191" s="72"/>
    </row>
    <row r="192" spans="22:24" s="2" customFormat="1">
      <c r="V192" s="155"/>
      <c r="W192" s="155"/>
      <c r="X192" s="72"/>
    </row>
    <row r="193" spans="22:24" s="2" customFormat="1">
      <c r="V193" s="155"/>
      <c r="W193" s="155"/>
      <c r="X193" s="72"/>
    </row>
    <row r="194" spans="22:24" s="2" customFormat="1">
      <c r="V194" s="155"/>
      <c r="W194" s="155"/>
      <c r="X194" s="72"/>
    </row>
    <row r="195" spans="22:24" s="2" customFormat="1">
      <c r="V195" s="155"/>
      <c r="W195" s="155"/>
      <c r="X195" s="72"/>
    </row>
    <row r="196" spans="22:24" s="2" customFormat="1">
      <c r="V196" s="155"/>
      <c r="W196" s="155"/>
      <c r="X196" s="72"/>
    </row>
    <row r="197" spans="22:24" s="2" customFormat="1">
      <c r="V197" s="155"/>
      <c r="W197" s="155"/>
      <c r="X197" s="72"/>
    </row>
    <row r="198" spans="22:24" s="2" customFormat="1">
      <c r="V198" s="155"/>
      <c r="W198" s="155"/>
      <c r="X198" s="72"/>
    </row>
    <row r="199" spans="22:24" s="2" customFormat="1">
      <c r="V199" s="155"/>
      <c r="W199" s="155"/>
      <c r="X199" s="72"/>
    </row>
    <row r="200" spans="22:24" s="2" customFormat="1">
      <c r="V200" s="155"/>
      <c r="W200" s="155"/>
      <c r="X200" s="72"/>
    </row>
    <row r="201" spans="22:24" s="2" customFormat="1">
      <c r="V201" s="155"/>
      <c r="W201" s="155"/>
      <c r="X201" s="72"/>
    </row>
    <row r="202" spans="22:24" s="2" customFormat="1">
      <c r="V202" s="155"/>
      <c r="W202" s="155"/>
      <c r="X202" s="72"/>
    </row>
    <row r="203" spans="22:24" s="2" customFormat="1">
      <c r="V203" s="155"/>
      <c r="W203" s="155"/>
      <c r="X203" s="72"/>
    </row>
    <row r="204" spans="22:24" s="2" customFormat="1">
      <c r="V204" s="155"/>
      <c r="W204" s="155"/>
      <c r="X204" s="72"/>
    </row>
    <row r="205" spans="22:24" s="2" customFormat="1">
      <c r="V205" s="155"/>
      <c r="W205" s="155"/>
      <c r="X205" s="72"/>
    </row>
    <row r="206" spans="22:24" s="2" customFormat="1">
      <c r="V206" s="155"/>
      <c r="W206" s="155"/>
      <c r="X206" s="72"/>
    </row>
    <row r="207" spans="22:24" s="2" customFormat="1">
      <c r="V207" s="155"/>
      <c r="W207" s="155"/>
      <c r="X207" s="72"/>
    </row>
    <row r="208" spans="22:24" s="2" customFormat="1">
      <c r="V208" s="155"/>
      <c r="W208" s="155"/>
      <c r="X208" s="72"/>
    </row>
    <row r="209" spans="22:23" s="2" customFormat="1">
      <c r="V209" s="155"/>
      <c r="W209" s="155"/>
    </row>
    <row r="210" spans="22:23" s="2" customFormat="1">
      <c r="V210" s="155"/>
      <c r="W210" s="155"/>
    </row>
    <row r="211" spans="22:23" s="2" customFormat="1">
      <c r="V211" s="155"/>
      <c r="W211" s="155"/>
    </row>
    <row r="212" spans="22:23" s="2" customFormat="1">
      <c r="V212" s="155"/>
      <c r="W212" s="155"/>
    </row>
    <row r="213" spans="22:23" s="2" customFormat="1">
      <c r="V213" s="155"/>
      <c r="W213" s="155"/>
    </row>
    <row r="214" spans="22:23" s="2" customFormat="1">
      <c r="V214" s="155"/>
      <c r="W214" s="155"/>
    </row>
    <row r="215" spans="22:23" s="2" customFormat="1">
      <c r="V215" s="155"/>
      <c r="W215" s="155"/>
    </row>
    <row r="216" spans="22:23" s="2" customFormat="1">
      <c r="V216" s="155"/>
      <c r="W216" s="155"/>
    </row>
    <row r="217" spans="22:23" s="2" customFormat="1">
      <c r="V217" s="155"/>
      <c r="W217" s="155"/>
    </row>
    <row r="218" spans="22:23" s="2" customFormat="1">
      <c r="V218" s="155"/>
      <c r="W218" s="155"/>
    </row>
    <row r="219" spans="22:23" s="2" customFormat="1">
      <c r="V219" s="155"/>
      <c r="W219" s="155"/>
    </row>
    <row r="220" spans="22:23" s="2" customFormat="1">
      <c r="V220" s="155"/>
      <c r="W220" s="155"/>
    </row>
    <row r="221" spans="22:23" s="2" customFormat="1">
      <c r="V221" s="155"/>
      <c r="W221" s="155"/>
    </row>
    <row r="222" spans="22:23" s="2" customFormat="1">
      <c r="V222" s="155"/>
      <c r="W222" s="155"/>
    </row>
    <row r="223" spans="22:23" s="2" customFormat="1">
      <c r="V223" s="155"/>
      <c r="W223" s="155"/>
    </row>
    <row r="224" spans="22:23" s="2" customFormat="1">
      <c r="V224" s="155"/>
      <c r="W224" s="155"/>
    </row>
    <row r="225" spans="22:23" s="2" customFormat="1">
      <c r="V225" s="155"/>
      <c r="W225" s="155"/>
    </row>
    <row r="226" spans="22:23" s="2" customFormat="1">
      <c r="V226" s="155"/>
      <c r="W226" s="155"/>
    </row>
    <row r="227" spans="22:23" s="2" customFormat="1">
      <c r="V227" s="155"/>
      <c r="W227" s="155"/>
    </row>
    <row r="228" spans="22:23" s="2" customFormat="1">
      <c r="V228" s="155"/>
      <c r="W228" s="155"/>
    </row>
    <row r="229" spans="22:23" s="2" customFormat="1">
      <c r="V229" s="155"/>
      <c r="W229" s="155"/>
    </row>
    <row r="230" spans="22:23" s="2" customFormat="1">
      <c r="V230" s="155"/>
      <c r="W230" s="155"/>
    </row>
    <row r="231" spans="22:23" s="2" customFormat="1">
      <c r="V231" s="155"/>
      <c r="W231" s="155"/>
    </row>
    <row r="232" spans="22:23" s="2" customFormat="1">
      <c r="V232" s="155"/>
      <c r="W232" s="155"/>
    </row>
    <row r="233" spans="22:23" s="2" customFormat="1">
      <c r="V233" s="155"/>
      <c r="W233" s="155"/>
    </row>
    <row r="234" spans="22:23" s="2" customFormat="1">
      <c r="V234" s="155"/>
      <c r="W234" s="155"/>
    </row>
    <row r="235" spans="22:23" s="2" customFormat="1">
      <c r="V235" s="155"/>
      <c r="W235" s="155"/>
    </row>
    <row r="236" spans="22:23" s="2" customFormat="1">
      <c r="V236" s="155"/>
      <c r="W236" s="155"/>
    </row>
    <row r="237" spans="22:23" s="2" customFormat="1">
      <c r="V237" s="155"/>
      <c r="W237" s="155"/>
    </row>
    <row r="238" spans="22:23" s="2" customFormat="1">
      <c r="V238" s="155"/>
      <c r="W238" s="155"/>
    </row>
    <row r="239" spans="22:23" s="2" customFormat="1">
      <c r="V239" s="155"/>
      <c r="W239" s="155"/>
    </row>
    <row r="240" spans="22:23" s="2" customFormat="1">
      <c r="V240" s="155"/>
      <c r="W240" s="155"/>
    </row>
    <row r="241" spans="22:23" s="2" customFormat="1">
      <c r="V241" s="155"/>
      <c r="W241" s="155"/>
    </row>
    <row r="242" spans="22:23" s="2" customFormat="1">
      <c r="V242" s="155"/>
      <c r="W242" s="155"/>
    </row>
    <row r="243" spans="22:23" s="2" customFormat="1">
      <c r="V243" s="155"/>
      <c r="W243" s="155"/>
    </row>
    <row r="244" spans="22:23" s="2" customFormat="1">
      <c r="V244" s="155"/>
      <c r="W244" s="155"/>
    </row>
    <row r="245" spans="22:23" s="2" customFormat="1">
      <c r="V245" s="155"/>
      <c r="W245" s="155"/>
    </row>
    <row r="246" spans="22:23" s="2" customFormat="1">
      <c r="V246" s="155"/>
      <c r="W246" s="155"/>
    </row>
    <row r="247" spans="22:23" s="2" customFormat="1">
      <c r="V247" s="155"/>
      <c r="W247" s="155"/>
    </row>
    <row r="248" spans="22:23" s="2" customFormat="1">
      <c r="V248" s="155"/>
      <c r="W248" s="155"/>
    </row>
    <row r="249" spans="22:23" s="2" customFormat="1">
      <c r="V249" s="155"/>
      <c r="W249" s="155"/>
    </row>
    <row r="250" spans="22:23" s="2" customFormat="1">
      <c r="V250" s="155"/>
      <c r="W250" s="155"/>
    </row>
    <row r="251" spans="22:23" s="2" customFormat="1">
      <c r="V251" s="155"/>
      <c r="W251" s="155"/>
    </row>
    <row r="252" spans="22:23" s="2" customFormat="1">
      <c r="V252" s="155"/>
      <c r="W252" s="155"/>
    </row>
    <row r="253" spans="22:23" s="2" customFormat="1">
      <c r="V253" s="155"/>
      <c r="W253" s="155"/>
    </row>
    <row r="254" spans="22:23" s="2" customFormat="1">
      <c r="V254" s="155"/>
      <c r="W254" s="155"/>
    </row>
    <row r="255" spans="22:23" s="2" customFormat="1">
      <c r="V255" s="155"/>
      <c r="W255" s="155"/>
    </row>
    <row r="256" spans="22:23" s="2" customFormat="1">
      <c r="V256" s="155"/>
      <c r="W256" s="155"/>
    </row>
    <row r="257" spans="22:23" s="2" customFormat="1">
      <c r="V257" s="155"/>
      <c r="W257" s="155"/>
    </row>
    <row r="258" spans="22:23" s="2" customFormat="1">
      <c r="V258" s="155"/>
      <c r="W258" s="155"/>
    </row>
    <row r="259" spans="22:23" s="2" customFormat="1">
      <c r="V259" s="155"/>
      <c r="W259" s="155"/>
    </row>
    <row r="260" spans="22:23" s="2" customFormat="1">
      <c r="V260" s="155"/>
      <c r="W260" s="155"/>
    </row>
    <row r="261" spans="22:23" s="2" customFormat="1">
      <c r="V261" s="155"/>
      <c r="W261" s="155"/>
    </row>
    <row r="262" spans="22:23" s="2" customFormat="1">
      <c r="V262" s="155"/>
      <c r="W262" s="155"/>
    </row>
    <row r="263" spans="22:23" s="2" customFormat="1">
      <c r="V263" s="155"/>
      <c r="W263" s="155"/>
    </row>
    <row r="264" spans="22:23" s="2" customFormat="1">
      <c r="V264" s="155"/>
      <c r="W264" s="155"/>
    </row>
    <row r="265" spans="22:23" s="2" customFormat="1">
      <c r="V265" s="155"/>
      <c r="W265" s="155"/>
    </row>
    <row r="266" spans="22:23" s="2" customFormat="1">
      <c r="V266" s="155"/>
      <c r="W266" s="155"/>
    </row>
    <row r="267" spans="22:23" s="2" customFormat="1">
      <c r="V267" s="155"/>
      <c r="W267" s="155"/>
    </row>
    <row r="268" spans="22:23" s="2" customFormat="1">
      <c r="V268" s="155"/>
      <c r="W268" s="155"/>
    </row>
    <row r="269" spans="22:23" s="2" customFormat="1">
      <c r="V269" s="155"/>
      <c r="W269" s="155"/>
    </row>
    <row r="270" spans="22:23" s="2" customFormat="1">
      <c r="V270" s="155"/>
      <c r="W270" s="155"/>
    </row>
    <row r="271" spans="22:23" s="2" customFormat="1">
      <c r="V271" s="155"/>
      <c r="W271" s="155"/>
    </row>
    <row r="272" spans="22:23" s="2" customFormat="1">
      <c r="V272" s="155"/>
      <c r="W272" s="155"/>
    </row>
    <row r="273" spans="22:23" s="2" customFormat="1">
      <c r="V273" s="155"/>
      <c r="W273" s="155"/>
    </row>
    <row r="274" spans="22:23" s="2" customFormat="1">
      <c r="V274" s="155"/>
      <c r="W274" s="155"/>
    </row>
    <row r="275" spans="22:23" s="2" customFormat="1">
      <c r="V275" s="155"/>
      <c r="W275" s="155"/>
    </row>
    <row r="276" spans="22:23" s="2" customFormat="1">
      <c r="V276" s="155"/>
      <c r="W276" s="155"/>
    </row>
    <row r="277" spans="22:23" s="2" customFormat="1">
      <c r="V277" s="155"/>
      <c r="W277" s="155"/>
    </row>
    <row r="278" spans="22:23" s="2" customFormat="1">
      <c r="V278" s="155"/>
      <c r="W278" s="155"/>
    </row>
    <row r="279" spans="22:23" s="2" customFormat="1">
      <c r="V279" s="155"/>
      <c r="W279" s="155"/>
    </row>
    <row r="280" spans="22:23" s="2" customFormat="1">
      <c r="V280" s="155"/>
      <c r="W280" s="155"/>
    </row>
    <row r="281" spans="22:23" s="2" customFormat="1">
      <c r="V281" s="155"/>
      <c r="W281" s="155"/>
    </row>
    <row r="282" spans="22:23" s="2" customFormat="1">
      <c r="V282" s="155"/>
      <c r="W282" s="155"/>
    </row>
    <row r="283" spans="22:23" s="2" customFormat="1">
      <c r="V283" s="155"/>
      <c r="W283" s="155"/>
    </row>
    <row r="284" spans="22:23" s="2" customFormat="1">
      <c r="V284" s="155"/>
      <c r="W284" s="155"/>
    </row>
    <row r="285" spans="22:23" s="2" customFormat="1">
      <c r="V285" s="155"/>
      <c r="W285" s="155"/>
    </row>
    <row r="286" spans="22:23" s="2" customFormat="1">
      <c r="V286" s="155"/>
      <c r="W286" s="155"/>
    </row>
    <row r="287" spans="22:23" s="2" customFormat="1">
      <c r="V287" s="155"/>
      <c r="W287" s="155"/>
    </row>
    <row r="288" spans="22:23" s="2" customFormat="1">
      <c r="V288" s="155"/>
      <c r="W288" s="155"/>
    </row>
    <row r="289" spans="22:23" s="2" customFormat="1">
      <c r="V289" s="155"/>
      <c r="W289" s="155"/>
    </row>
    <row r="290" spans="22:23" s="2" customFormat="1">
      <c r="V290" s="155"/>
      <c r="W290" s="155"/>
    </row>
    <row r="291" spans="22:23" s="2" customFormat="1">
      <c r="V291" s="155"/>
      <c r="W291" s="155"/>
    </row>
    <row r="292" spans="22:23" s="2" customFormat="1">
      <c r="V292" s="155"/>
      <c r="W292" s="155"/>
    </row>
    <row r="293" spans="22:23" s="2" customFormat="1">
      <c r="V293" s="155"/>
      <c r="W293" s="155"/>
    </row>
    <row r="294" spans="22:23" s="2" customFormat="1">
      <c r="V294" s="155"/>
      <c r="W294" s="155"/>
    </row>
    <row r="295" spans="22:23" s="2" customFormat="1">
      <c r="V295" s="155"/>
      <c r="W295" s="155"/>
    </row>
    <row r="296" spans="22:23" s="2" customFormat="1">
      <c r="V296" s="155"/>
      <c r="W296" s="155"/>
    </row>
    <row r="297" spans="22:23" s="2" customFormat="1">
      <c r="V297" s="155"/>
      <c r="W297" s="155"/>
    </row>
    <row r="298" spans="22:23" s="2" customFormat="1">
      <c r="V298" s="155"/>
      <c r="W298" s="155"/>
    </row>
    <row r="299" spans="22:23" s="2" customFormat="1">
      <c r="V299" s="155"/>
      <c r="W299" s="155"/>
    </row>
    <row r="300" spans="22:23" s="2" customFormat="1">
      <c r="V300" s="155"/>
      <c r="W300" s="155"/>
    </row>
    <row r="301" spans="22:23" s="2" customFormat="1">
      <c r="V301" s="155"/>
      <c r="W301" s="155"/>
    </row>
    <row r="302" spans="22:23" s="2" customFormat="1">
      <c r="V302" s="155"/>
      <c r="W302" s="155"/>
    </row>
    <row r="303" spans="22:23" s="2" customFormat="1">
      <c r="V303" s="155"/>
      <c r="W303" s="155"/>
    </row>
    <row r="304" spans="22:23" s="2" customFormat="1">
      <c r="V304" s="155"/>
      <c r="W304" s="155"/>
    </row>
    <row r="305" spans="22:23" s="2" customFormat="1">
      <c r="V305" s="155"/>
      <c r="W305" s="155"/>
    </row>
    <row r="306" spans="22:23" s="2" customFormat="1">
      <c r="V306" s="155"/>
      <c r="W306" s="155"/>
    </row>
    <row r="307" spans="22:23" s="2" customFormat="1">
      <c r="V307" s="155"/>
      <c r="W307" s="155"/>
    </row>
    <row r="308" spans="22:23" s="2" customFormat="1">
      <c r="V308" s="155"/>
      <c r="W308" s="155"/>
    </row>
    <row r="309" spans="22:23" s="2" customFormat="1">
      <c r="V309" s="155"/>
      <c r="W309" s="155"/>
    </row>
    <row r="310" spans="22:23" s="2" customFormat="1">
      <c r="V310" s="155"/>
      <c r="W310" s="155"/>
    </row>
    <row r="311" spans="22:23" s="2" customFormat="1">
      <c r="V311" s="155"/>
      <c r="W311" s="155"/>
    </row>
    <row r="312" spans="22:23" s="2" customFormat="1">
      <c r="V312" s="155"/>
      <c r="W312" s="155"/>
    </row>
    <row r="313" spans="22:23" s="2" customFormat="1">
      <c r="V313" s="155"/>
      <c r="W313" s="155"/>
    </row>
    <row r="314" spans="22:23" s="2" customFormat="1">
      <c r="V314" s="155"/>
      <c r="W314" s="155"/>
    </row>
    <row r="315" spans="22:23" s="2" customFormat="1">
      <c r="V315" s="155"/>
      <c r="W315" s="155"/>
    </row>
    <row r="316" spans="22:23" s="2" customFormat="1">
      <c r="V316" s="155"/>
      <c r="W316" s="155"/>
    </row>
    <row r="317" spans="22:23" s="2" customFormat="1">
      <c r="V317" s="155"/>
      <c r="W317" s="155"/>
    </row>
    <row r="318" spans="22:23" s="2" customFormat="1">
      <c r="V318" s="155"/>
      <c r="W318" s="155"/>
    </row>
    <row r="319" spans="22:23" s="2" customFormat="1">
      <c r="V319" s="155"/>
      <c r="W319" s="155"/>
    </row>
    <row r="320" spans="22:23" s="2" customFormat="1">
      <c r="V320" s="155"/>
      <c r="W320" s="155"/>
    </row>
    <row r="321" spans="22:23" s="2" customFormat="1">
      <c r="V321" s="155"/>
      <c r="W321" s="155"/>
    </row>
    <row r="322" spans="22:23" s="2" customFormat="1">
      <c r="V322" s="155"/>
      <c r="W322" s="155"/>
    </row>
    <row r="323" spans="22:23" s="2" customFormat="1">
      <c r="V323" s="155"/>
      <c r="W323" s="155"/>
    </row>
    <row r="324" spans="22:23" s="2" customFormat="1">
      <c r="V324" s="155"/>
      <c r="W324" s="155"/>
    </row>
    <row r="325" spans="22:23" s="2" customFormat="1">
      <c r="V325" s="155"/>
      <c r="W325" s="155"/>
    </row>
    <row r="326" spans="22:23" s="2" customFormat="1">
      <c r="V326" s="155"/>
      <c r="W326" s="155"/>
    </row>
    <row r="327" spans="22:23" s="2" customFormat="1">
      <c r="V327" s="155"/>
      <c r="W327" s="155"/>
    </row>
    <row r="328" spans="22:23" s="2" customFormat="1">
      <c r="V328" s="155"/>
      <c r="W328" s="155"/>
    </row>
    <row r="329" spans="22:23" s="2" customFormat="1">
      <c r="V329" s="155"/>
      <c r="W329" s="155"/>
    </row>
    <row r="330" spans="22:23" s="2" customFormat="1">
      <c r="V330" s="155"/>
      <c r="W330" s="155"/>
    </row>
    <row r="331" spans="22:23" s="2" customFormat="1">
      <c r="V331" s="155"/>
      <c r="W331" s="155"/>
    </row>
    <row r="332" spans="22:23" s="2" customFormat="1">
      <c r="V332" s="155"/>
      <c r="W332" s="155"/>
    </row>
    <row r="333" spans="22:23" s="2" customFormat="1">
      <c r="V333" s="155"/>
      <c r="W333" s="155"/>
    </row>
    <row r="334" spans="22:23" s="2" customFormat="1">
      <c r="V334" s="155"/>
      <c r="W334" s="155"/>
    </row>
    <row r="335" spans="22:23" s="2" customFormat="1">
      <c r="V335" s="155"/>
      <c r="W335" s="155"/>
    </row>
    <row r="336" spans="22:23" s="2" customFormat="1">
      <c r="V336" s="155"/>
      <c r="W336" s="155"/>
    </row>
    <row r="337" spans="22:23" s="2" customFormat="1">
      <c r="V337" s="155"/>
      <c r="W337" s="155"/>
    </row>
    <row r="338" spans="22:23" s="2" customFormat="1">
      <c r="V338" s="155"/>
      <c r="W338" s="155"/>
    </row>
    <row r="339" spans="22:23" s="2" customFormat="1">
      <c r="V339" s="155"/>
      <c r="W339" s="155"/>
    </row>
    <row r="340" spans="22:23" s="2" customFormat="1">
      <c r="V340" s="155"/>
      <c r="W340" s="155"/>
    </row>
    <row r="341" spans="22:23" s="2" customFormat="1">
      <c r="V341" s="155"/>
      <c r="W341" s="155"/>
    </row>
    <row r="342" spans="22:23" s="2" customFormat="1">
      <c r="V342" s="155"/>
      <c r="W342" s="155"/>
    </row>
    <row r="343" spans="22:23" s="2" customFormat="1">
      <c r="V343" s="155"/>
      <c r="W343" s="155"/>
    </row>
    <row r="344" spans="22:23" s="2" customFormat="1">
      <c r="V344" s="155"/>
      <c r="W344" s="155"/>
    </row>
    <row r="345" spans="22:23" s="2" customFormat="1">
      <c r="V345" s="155"/>
      <c r="W345" s="155"/>
    </row>
    <row r="346" spans="22:23" s="2" customFormat="1">
      <c r="V346" s="155"/>
      <c r="W346" s="155"/>
    </row>
    <row r="347" spans="22:23" s="2" customFormat="1">
      <c r="V347" s="155"/>
      <c r="W347" s="155"/>
    </row>
    <row r="348" spans="22:23" s="2" customFormat="1">
      <c r="V348" s="155"/>
      <c r="W348" s="155"/>
    </row>
    <row r="349" spans="22:23" s="2" customFormat="1">
      <c r="V349" s="155"/>
      <c r="W349" s="155"/>
    </row>
    <row r="350" spans="22:23" s="2" customFormat="1">
      <c r="V350" s="155"/>
      <c r="W350" s="155"/>
    </row>
    <row r="351" spans="22:23" s="2" customFormat="1">
      <c r="V351" s="155"/>
      <c r="W351" s="155"/>
    </row>
    <row r="352" spans="22:23" s="2" customFormat="1">
      <c r="V352" s="155"/>
      <c r="W352" s="155"/>
    </row>
    <row r="353" spans="22:23" s="2" customFormat="1">
      <c r="V353" s="155"/>
      <c r="W353" s="155"/>
    </row>
    <row r="354" spans="22:23" s="2" customFormat="1">
      <c r="V354" s="155"/>
      <c r="W354" s="155"/>
    </row>
    <row r="355" spans="22:23" s="2" customFormat="1">
      <c r="V355" s="155"/>
      <c r="W355" s="155"/>
    </row>
    <row r="356" spans="22:23" s="2" customFormat="1">
      <c r="V356" s="155"/>
      <c r="W356" s="155"/>
    </row>
    <row r="357" spans="22:23" s="2" customFormat="1">
      <c r="V357" s="155"/>
      <c r="W357" s="155"/>
    </row>
    <row r="358" spans="22:23" s="2" customFormat="1">
      <c r="V358" s="155"/>
      <c r="W358" s="155"/>
    </row>
    <row r="359" spans="22:23" s="2" customFormat="1">
      <c r="V359" s="155"/>
      <c r="W359" s="155"/>
    </row>
    <row r="360" spans="22:23" s="2" customFormat="1">
      <c r="V360" s="155"/>
      <c r="W360" s="155"/>
    </row>
    <row r="361" spans="22:23" s="2" customFormat="1">
      <c r="V361" s="155"/>
      <c r="W361" s="155"/>
    </row>
    <row r="362" spans="22:23" s="2" customFormat="1">
      <c r="V362" s="155"/>
      <c r="W362" s="155"/>
    </row>
    <row r="363" spans="22:23" s="2" customFormat="1">
      <c r="V363" s="155"/>
      <c r="W363" s="155"/>
    </row>
    <row r="364" spans="22:23" s="2" customFormat="1">
      <c r="V364" s="155"/>
      <c r="W364" s="155"/>
    </row>
    <row r="365" spans="22:23" s="2" customFormat="1">
      <c r="V365" s="155"/>
      <c r="W365" s="155"/>
    </row>
    <row r="366" spans="22:23" s="2" customFormat="1">
      <c r="V366" s="155"/>
      <c r="W366" s="155"/>
    </row>
    <row r="367" spans="22:23" s="2" customFormat="1">
      <c r="V367" s="155"/>
      <c r="W367" s="155"/>
    </row>
    <row r="368" spans="22:23" s="2" customFormat="1">
      <c r="V368" s="155"/>
      <c r="W368" s="155"/>
    </row>
    <row r="369" spans="22:23" s="2" customFormat="1">
      <c r="V369" s="155"/>
      <c r="W369" s="155"/>
    </row>
    <row r="370" spans="22:23" s="2" customFormat="1">
      <c r="V370" s="155"/>
      <c r="W370" s="155"/>
    </row>
    <row r="371" spans="22:23" s="2" customFormat="1">
      <c r="V371" s="155"/>
      <c r="W371" s="155"/>
    </row>
    <row r="372" spans="22:23" s="2" customFormat="1">
      <c r="V372" s="155"/>
      <c r="W372" s="155"/>
    </row>
    <row r="373" spans="22:23" s="2" customFormat="1">
      <c r="V373" s="155"/>
      <c r="W373" s="155"/>
    </row>
    <row r="374" spans="22:23" s="2" customFormat="1">
      <c r="V374" s="155"/>
      <c r="W374" s="155"/>
    </row>
    <row r="375" spans="22:23" s="2" customFormat="1">
      <c r="V375" s="155"/>
      <c r="W375" s="155"/>
    </row>
    <row r="376" spans="22:23" s="2" customFormat="1">
      <c r="V376" s="155"/>
      <c r="W376" s="155"/>
    </row>
    <row r="377" spans="22:23" s="2" customFormat="1">
      <c r="V377" s="155"/>
      <c r="W377" s="155"/>
    </row>
    <row r="378" spans="22:23" s="2" customFormat="1">
      <c r="V378" s="155"/>
      <c r="W378" s="155"/>
    </row>
    <row r="379" spans="22:23" s="2" customFormat="1">
      <c r="V379" s="155"/>
      <c r="W379" s="155"/>
    </row>
    <row r="380" spans="22:23" s="2" customFormat="1">
      <c r="V380" s="155"/>
      <c r="W380" s="155"/>
    </row>
    <row r="381" spans="22:23" s="2" customFormat="1">
      <c r="V381" s="155"/>
      <c r="W381" s="155"/>
    </row>
    <row r="382" spans="22:23" s="2" customFormat="1">
      <c r="V382" s="155"/>
      <c r="W382" s="155"/>
    </row>
    <row r="383" spans="22:23" s="2" customFormat="1">
      <c r="V383" s="155"/>
      <c r="W383" s="155"/>
    </row>
    <row r="384" spans="22:23" s="2" customFormat="1">
      <c r="V384" s="155"/>
      <c r="W384" s="155"/>
    </row>
    <row r="385" spans="22:23" s="2" customFormat="1">
      <c r="V385" s="155"/>
      <c r="W385" s="155"/>
    </row>
    <row r="386" spans="22:23" s="2" customFormat="1">
      <c r="V386" s="155"/>
      <c r="W386" s="155"/>
    </row>
    <row r="387" spans="22:23" s="2" customFormat="1">
      <c r="V387" s="155"/>
      <c r="W387" s="155"/>
    </row>
    <row r="388" spans="22:23" s="2" customFormat="1">
      <c r="V388" s="155"/>
      <c r="W388" s="155"/>
    </row>
    <row r="389" spans="22:23" s="2" customFormat="1">
      <c r="V389" s="155"/>
      <c r="W389" s="155"/>
    </row>
    <row r="390" spans="22:23" s="2" customFormat="1">
      <c r="V390" s="155"/>
      <c r="W390" s="155"/>
    </row>
    <row r="391" spans="22:23" s="2" customFormat="1">
      <c r="V391" s="155"/>
      <c r="W391" s="155"/>
    </row>
    <row r="392" spans="22:23" s="2" customFormat="1">
      <c r="V392" s="155"/>
      <c r="W392" s="155"/>
    </row>
    <row r="393" spans="22:23" s="2" customFormat="1">
      <c r="V393" s="155"/>
      <c r="W393" s="155"/>
    </row>
    <row r="394" spans="22:23" s="2" customFormat="1">
      <c r="V394" s="155"/>
      <c r="W394" s="155"/>
    </row>
    <row r="395" spans="22:23" s="2" customFormat="1">
      <c r="V395" s="155"/>
      <c r="W395" s="155"/>
    </row>
    <row r="396" spans="22:23" s="2" customFormat="1">
      <c r="V396" s="155"/>
      <c r="W396" s="155"/>
    </row>
    <row r="397" spans="22:23" s="2" customFormat="1">
      <c r="V397" s="155"/>
      <c r="W397" s="155"/>
    </row>
    <row r="398" spans="22:23" s="2" customFormat="1">
      <c r="V398" s="155"/>
      <c r="W398" s="155"/>
    </row>
    <row r="399" spans="22:23" s="2" customFormat="1">
      <c r="V399" s="155"/>
      <c r="W399" s="155"/>
    </row>
    <row r="400" spans="22:23" s="2" customFormat="1">
      <c r="V400" s="155"/>
      <c r="W400" s="155"/>
    </row>
    <row r="401" spans="22:23" s="2" customFormat="1">
      <c r="V401" s="155"/>
      <c r="W401" s="155"/>
    </row>
    <row r="402" spans="22:23" s="2" customFormat="1">
      <c r="V402" s="155"/>
      <c r="W402" s="155"/>
    </row>
    <row r="403" spans="22:23" s="2" customFormat="1">
      <c r="V403" s="155"/>
      <c r="W403" s="155"/>
    </row>
    <row r="404" spans="22:23" s="2" customFormat="1">
      <c r="V404" s="155"/>
      <c r="W404" s="155"/>
    </row>
    <row r="405" spans="22:23" s="2" customFormat="1">
      <c r="V405" s="155"/>
      <c r="W405" s="155"/>
    </row>
    <row r="406" spans="22:23" s="2" customFormat="1">
      <c r="V406" s="155"/>
      <c r="W406" s="155"/>
    </row>
    <row r="407" spans="22:23" s="2" customFormat="1">
      <c r="V407" s="155"/>
      <c r="W407" s="155"/>
    </row>
    <row r="408" spans="22:23" s="2" customFormat="1">
      <c r="V408" s="155"/>
      <c r="W408" s="155"/>
    </row>
    <row r="409" spans="22:23" s="2" customFormat="1">
      <c r="V409" s="155"/>
      <c r="W409" s="155"/>
    </row>
    <row r="410" spans="22:23" s="2" customFormat="1">
      <c r="V410" s="155"/>
      <c r="W410" s="155"/>
    </row>
    <row r="411" spans="22:23" s="2" customFormat="1">
      <c r="V411" s="155"/>
      <c r="W411" s="155"/>
    </row>
    <row r="412" spans="22:23" s="2" customFormat="1">
      <c r="V412" s="155"/>
      <c r="W412" s="155"/>
    </row>
    <row r="413" spans="22:23" s="2" customFormat="1">
      <c r="V413" s="155"/>
      <c r="W413" s="155"/>
    </row>
    <row r="414" spans="22:23" s="2" customFormat="1">
      <c r="V414" s="155"/>
      <c r="W414" s="155"/>
    </row>
    <row r="415" spans="22:23" s="2" customFormat="1">
      <c r="V415" s="155"/>
      <c r="W415" s="155"/>
    </row>
    <row r="416" spans="22:23" s="2" customFormat="1">
      <c r="V416" s="155"/>
      <c r="W416" s="155"/>
    </row>
    <row r="417" spans="22:23" s="2" customFormat="1">
      <c r="V417" s="155"/>
      <c r="W417" s="155"/>
    </row>
    <row r="418" spans="22:23" s="2" customFormat="1">
      <c r="V418" s="155"/>
      <c r="W418" s="155"/>
    </row>
    <row r="419" spans="22:23" s="2" customFormat="1">
      <c r="V419" s="155"/>
      <c r="W419" s="155"/>
    </row>
    <row r="420" spans="22:23" s="2" customFormat="1">
      <c r="V420" s="155"/>
      <c r="W420" s="155"/>
    </row>
    <row r="421" spans="22:23" s="2" customFormat="1">
      <c r="V421" s="155"/>
      <c r="W421" s="155"/>
    </row>
    <row r="422" spans="22:23" s="2" customFormat="1">
      <c r="V422" s="155"/>
      <c r="W422" s="155"/>
    </row>
    <row r="423" spans="22:23" s="2" customFormat="1">
      <c r="V423" s="155"/>
      <c r="W423" s="155"/>
    </row>
    <row r="424" spans="22:23" s="2" customFormat="1">
      <c r="V424" s="155"/>
      <c r="W424" s="155"/>
    </row>
    <row r="425" spans="22:23" s="2" customFormat="1">
      <c r="V425" s="155"/>
      <c r="W425" s="155"/>
    </row>
    <row r="426" spans="22:23" s="2" customFormat="1">
      <c r="V426" s="155"/>
      <c r="W426" s="155"/>
    </row>
    <row r="427" spans="22:23" s="2" customFormat="1">
      <c r="V427" s="155"/>
      <c r="W427" s="155"/>
    </row>
    <row r="428" spans="22:23" s="2" customFormat="1">
      <c r="V428" s="155"/>
      <c r="W428" s="155"/>
    </row>
    <row r="429" spans="22:23" s="2" customFormat="1">
      <c r="V429" s="155"/>
      <c r="W429" s="155"/>
    </row>
    <row r="430" spans="22:23" s="2" customFormat="1">
      <c r="V430" s="155"/>
      <c r="W430" s="155"/>
    </row>
    <row r="431" spans="22:23" s="2" customFormat="1">
      <c r="V431" s="155"/>
      <c r="W431" s="155"/>
    </row>
    <row r="432" spans="22:23" s="2" customFormat="1">
      <c r="V432" s="155"/>
      <c r="W432" s="155"/>
    </row>
    <row r="433" spans="22:23" s="2" customFormat="1">
      <c r="V433" s="155"/>
      <c r="W433" s="155"/>
    </row>
    <row r="434" spans="22:23" s="2" customFormat="1">
      <c r="V434" s="155"/>
      <c r="W434" s="155"/>
    </row>
    <row r="435" spans="22:23" s="2" customFormat="1">
      <c r="V435" s="155"/>
      <c r="W435" s="155"/>
    </row>
    <row r="436" spans="22:23" s="2" customFormat="1">
      <c r="V436" s="155"/>
      <c r="W436" s="155"/>
    </row>
    <row r="437" spans="22:23" s="2" customFormat="1">
      <c r="V437" s="155"/>
      <c r="W437" s="155"/>
    </row>
    <row r="438" spans="22:23" s="2" customFormat="1">
      <c r="V438" s="155"/>
      <c r="W438" s="155"/>
    </row>
    <row r="439" spans="22:23" s="2" customFormat="1">
      <c r="V439" s="155"/>
      <c r="W439" s="155"/>
    </row>
    <row r="440" spans="22:23" s="2" customFormat="1">
      <c r="V440" s="155"/>
      <c r="W440" s="155"/>
    </row>
    <row r="441" spans="22:23" s="2" customFormat="1">
      <c r="V441" s="155"/>
      <c r="W441" s="155"/>
    </row>
    <row r="442" spans="22:23" s="2" customFormat="1">
      <c r="V442" s="155"/>
      <c r="W442" s="155"/>
    </row>
    <row r="443" spans="22:23" s="2" customFormat="1">
      <c r="V443" s="155"/>
      <c r="W443" s="155"/>
    </row>
    <row r="444" spans="22:23" s="2" customFormat="1">
      <c r="V444" s="155"/>
      <c r="W444" s="155"/>
    </row>
    <row r="445" spans="22:23" s="2" customFormat="1">
      <c r="V445" s="155"/>
      <c r="W445" s="155"/>
    </row>
    <row r="446" spans="22:23" s="2" customFormat="1">
      <c r="V446" s="155"/>
      <c r="W446" s="155"/>
    </row>
    <row r="447" spans="22:23" s="2" customFormat="1">
      <c r="V447" s="155"/>
      <c r="W447" s="155"/>
    </row>
    <row r="448" spans="22:23" s="2" customFormat="1">
      <c r="V448" s="155"/>
      <c r="W448" s="155"/>
    </row>
    <row r="449" spans="22:23" s="2" customFormat="1">
      <c r="V449" s="155"/>
      <c r="W449" s="155"/>
    </row>
    <row r="450" spans="22:23" s="2" customFormat="1">
      <c r="V450" s="155"/>
      <c r="W450" s="155"/>
    </row>
    <row r="451" spans="22:23" s="2" customFormat="1">
      <c r="V451" s="155"/>
      <c r="W451" s="155"/>
    </row>
    <row r="452" spans="22:23" s="2" customFormat="1">
      <c r="V452" s="155"/>
      <c r="W452" s="155"/>
    </row>
    <row r="453" spans="22:23" s="2" customFormat="1">
      <c r="V453" s="155"/>
      <c r="W453" s="155"/>
    </row>
    <row r="454" spans="22:23" s="2" customFormat="1">
      <c r="V454" s="155"/>
      <c r="W454" s="155"/>
    </row>
    <row r="455" spans="22:23" s="2" customFormat="1">
      <c r="V455" s="155"/>
      <c r="W455" s="155"/>
    </row>
    <row r="456" spans="22:23" s="2" customFormat="1">
      <c r="V456" s="155"/>
      <c r="W456" s="155"/>
    </row>
    <row r="457" spans="22:23" s="2" customFormat="1">
      <c r="V457" s="155"/>
      <c r="W457" s="155"/>
    </row>
    <row r="458" spans="22:23" s="2" customFormat="1">
      <c r="V458" s="155"/>
      <c r="W458" s="155"/>
    </row>
    <row r="459" spans="22:23" s="2" customFormat="1">
      <c r="V459" s="155"/>
      <c r="W459" s="155"/>
    </row>
    <row r="460" spans="22:23" s="2" customFormat="1">
      <c r="V460" s="155"/>
      <c r="W460" s="155"/>
    </row>
    <row r="461" spans="22:23" s="2" customFormat="1">
      <c r="V461" s="155"/>
      <c r="W461" s="155"/>
    </row>
    <row r="462" spans="22:23" s="2" customFormat="1">
      <c r="V462" s="155"/>
      <c r="W462" s="155"/>
    </row>
    <row r="463" spans="22:23" s="2" customFormat="1">
      <c r="V463" s="155"/>
      <c r="W463" s="155"/>
    </row>
    <row r="464" spans="22:23" s="2" customFormat="1">
      <c r="V464" s="155"/>
      <c r="W464" s="155"/>
    </row>
    <row r="465" spans="22:23" s="2" customFormat="1">
      <c r="V465" s="155"/>
      <c r="W465" s="155"/>
    </row>
    <row r="466" spans="22:23" s="2" customFormat="1">
      <c r="V466" s="155"/>
      <c r="W466" s="155"/>
    </row>
    <row r="467" spans="22:23" s="2" customFormat="1">
      <c r="V467" s="155"/>
      <c r="W467" s="155"/>
    </row>
    <row r="468" spans="22:23" s="2" customFormat="1">
      <c r="V468" s="155"/>
      <c r="W468" s="155"/>
    </row>
    <row r="469" spans="22:23" s="2" customFormat="1">
      <c r="V469" s="155"/>
      <c r="W469" s="155"/>
    </row>
    <row r="470" spans="22:23" s="2" customFormat="1">
      <c r="V470" s="155"/>
      <c r="W470" s="155"/>
    </row>
    <row r="471" spans="22:23" s="2" customFormat="1">
      <c r="V471" s="155"/>
      <c r="W471" s="155"/>
    </row>
    <row r="472" spans="22:23" s="2" customFormat="1">
      <c r="V472" s="155"/>
      <c r="W472" s="155"/>
    </row>
    <row r="473" spans="22:23" s="2" customFormat="1">
      <c r="V473" s="155"/>
      <c r="W473" s="155"/>
    </row>
    <row r="474" spans="22:23" s="2" customFormat="1">
      <c r="V474" s="155"/>
      <c r="W474" s="155"/>
    </row>
    <row r="475" spans="22:23" s="2" customFormat="1">
      <c r="V475" s="155"/>
      <c r="W475" s="155"/>
    </row>
    <row r="476" spans="22:23" s="2" customFormat="1">
      <c r="V476" s="155"/>
      <c r="W476" s="155"/>
    </row>
    <row r="477" spans="22:23" s="2" customFormat="1">
      <c r="V477" s="155"/>
      <c r="W477" s="155"/>
    </row>
    <row r="478" spans="22:23" s="2" customFormat="1">
      <c r="V478" s="155"/>
      <c r="W478" s="155"/>
    </row>
    <row r="479" spans="22:23" s="2" customFormat="1">
      <c r="V479" s="155"/>
      <c r="W479" s="155"/>
    </row>
    <row r="480" spans="22:23" s="2" customFormat="1">
      <c r="V480" s="155"/>
      <c r="W480" s="155"/>
    </row>
    <row r="481" spans="22:23" s="2" customFormat="1">
      <c r="V481" s="155"/>
      <c r="W481" s="155"/>
    </row>
    <row r="482" spans="22:23" s="2" customFormat="1">
      <c r="V482" s="155"/>
      <c r="W482" s="155"/>
    </row>
    <row r="483" spans="22:23" s="2" customFormat="1">
      <c r="V483" s="155"/>
      <c r="W483" s="155"/>
    </row>
    <row r="484" spans="22:23" s="2" customFormat="1">
      <c r="V484" s="155"/>
      <c r="W484" s="155"/>
    </row>
    <row r="485" spans="22:23" s="2" customFormat="1">
      <c r="V485" s="155"/>
      <c r="W485" s="155"/>
    </row>
    <row r="486" spans="22:23" s="2" customFormat="1">
      <c r="V486" s="155"/>
      <c r="W486" s="155"/>
    </row>
    <row r="487" spans="22:23" s="2" customFormat="1">
      <c r="V487" s="155"/>
      <c r="W487" s="155"/>
    </row>
    <row r="488" spans="22:23" s="2" customFormat="1">
      <c r="V488" s="155"/>
      <c r="W488" s="155"/>
    </row>
    <row r="489" spans="22:23" s="2" customFormat="1">
      <c r="V489" s="155"/>
      <c r="W489" s="155"/>
    </row>
    <row r="490" spans="22:23" s="2" customFormat="1">
      <c r="V490" s="155"/>
      <c r="W490" s="155"/>
    </row>
    <row r="491" spans="22:23" s="2" customFormat="1">
      <c r="V491" s="155"/>
      <c r="W491" s="155"/>
    </row>
    <row r="492" spans="22:23" s="2" customFormat="1">
      <c r="V492" s="155"/>
      <c r="W492" s="155"/>
    </row>
    <row r="493" spans="22:23" s="2" customFormat="1">
      <c r="V493" s="155"/>
      <c r="W493" s="155"/>
    </row>
    <row r="494" spans="22:23" s="2" customFormat="1">
      <c r="V494" s="155"/>
      <c r="W494" s="155"/>
    </row>
    <row r="495" spans="22:23" s="2" customFormat="1">
      <c r="V495" s="155"/>
      <c r="W495" s="155"/>
    </row>
    <row r="496" spans="22:23" s="2" customFormat="1">
      <c r="V496" s="155"/>
      <c r="W496" s="155"/>
    </row>
    <row r="497" spans="22:23" s="2" customFormat="1">
      <c r="V497" s="155"/>
      <c r="W497" s="155"/>
    </row>
    <row r="498" spans="22:23" s="2" customFormat="1">
      <c r="V498" s="155"/>
      <c r="W498" s="155"/>
    </row>
    <row r="499" spans="22:23" s="2" customFormat="1">
      <c r="V499" s="155"/>
      <c r="W499" s="155"/>
    </row>
    <row r="500" spans="22:23" s="2" customFormat="1">
      <c r="V500" s="155"/>
      <c r="W500" s="155"/>
    </row>
    <row r="501" spans="22:23" s="2" customFormat="1">
      <c r="V501" s="155"/>
      <c r="W501" s="155"/>
    </row>
    <row r="502" spans="22:23" s="2" customFormat="1">
      <c r="V502" s="155"/>
      <c r="W502" s="155"/>
    </row>
    <row r="503" spans="22:23" s="2" customFormat="1">
      <c r="V503" s="155"/>
      <c r="W503" s="155"/>
    </row>
    <row r="504" spans="22:23" s="2" customFormat="1">
      <c r="V504" s="155"/>
      <c r="W504" s="155"/>
    </row>
    <row r="505" spans="22:23" s="2" customFormat="1">
      <c r="V505" s="155"/>
      <c r="W505" s="155"/>
    </row>
    <row r="506" spans="22:23" s="2" customFormat="1">
      <c r="V506" s="155"/>
      <c r="W506" s="155"/>
    </row>
    <row r="507" spans="22:23" s="2" customFormat="1">
      <c r="V507" s="155"/>
      <c r="W507" s="155"/>
    </row>
    <row r="508" spans="22:23" s="2" customFormat="1">
      <c r="V508" s="155"/>
      <c r="W508" s="155"/>
    </row>
    <row r="509" spans="22:23" s="2" customFormat="1">
      <c r="V509" s="155"/>
      <c r="W509" s="155"/>
    </row>
    <row r="510" spans="22:23" s="2" customFormat="1">
      <c r="V510" s="155"/>
      <c r="W510" s="155"/>
    </row>
    <row r="511" spans="22:23" s="2" customFormat="1">
      <c r="V511" s="155"/>
      <c r="W511" s="155"/>
    </row>
    <row r="512" spans="22:23" s="2" customFormat="1">
      <c r="V512" s="155"/>
      <c r="W512" s="155"/>
    </row>
    <row r="513" spans="22:23" s="2" customFormat="1">
      <c r="V513" s="155"/>
      <c r="W513" s="155"/>
    </row>
    <row r="514" spans="22:23" s="2" customFormat="1">
      <c r="V514" s="155"/>
      <c r="W514" s="155"/>
    </row>
    <row r="515" spans="22:23" s="2" customFormat="1">
      <c r="V515" s="155"/>
      <c r="W515" s="155"/>
    </row>
    <row r="516" spans="22:23" s="2" customFormat="1">
      <c r="V516" s="155"/>
      <c r="W516" s="155"/>
    </row>
    <row r="517" spans="22:23" s="2" customFormat="1">
      <c r="V517" s="155"/>
      <c r="W517" s="155"/>
    </row>
    <row r="518" spans="22:23" s="2" customFormat="1">
      <c r="V518" s="155"/>
      <c r="W518" s="155"/>
    </row>
    <row r="519" spans="22:23" s="2" customFormat="1">
      <c r="V519" s="155"/>
      <c r="W519" s="155"/>
    </row>
    <row r="520" spans="22:23" s="2" customFormat="1">
      <c r="V520" s="155"/>
      <c r="W520" s="155"/>
    </row>
    <row r="521" spans="22:23" s="2" customFormat="1">
      <c r="V521" s="155"/>
      <c r="W521" s="155"/>
    </row>
    <row r="522" spans="22:23" s="2" customFormat="1">
      <c r="V522" s="155"/>
      <c r="W522" s="155"/>
    </row>
    <row r="523" spans="22:23" s="2" customFormat="1">
      <c r="V523" s="155"/>
      <c r="W523" s="155"/>
    </row>
    <row r="524" spans="22:23" s="2" customFormat="1">
      <c r="V524" s="155"/>
      <c r="W524" s="155"/>
    </row>
    <row r="525" spans="22:23" s="2" customFormat="1">
      <c r="V525" s="155"/>
      <c r="W525" s="155"/>
    </row>
    <row r="526" spans="22:23" s="2" customFormat="1">
      <c r="V526" s="155"/>
      <c r="W526" s="155"/>
    </row>
    <row r="527" spans="22:23" s="2" customFormat="1">
      <c r="V527" s="155"/>
      <c r="W527" s="155"/>
    </row>
    <row r="528" spans="22:23" s="2" customFormat="1">
      <c r="V528" s="155"/>
      <c r="W528" s="155"/>
    </row>
    <row r="529" spans="22:23" s="2" customFormat="1">
      <c r="V529" s="155"/>
      <c r="W529" s="155"/>
    </row>
    <row r="530" spans="22:23" s="2" customFormat="1">
      <c r="V530" s="155"/>
      <c r="W530" s="155"/>
    </row>
    <row r="531" spans="22:23" s="2" customFormat="1">
      <c r="V531" s="155"/>
      <c r="W531" s="155"/>
    </row>
    <row r="532" spans="22:23" s="2" customFormat="1">
      <c r="V532" s="155"/>
      <c r="W532" s="155"/>
    </row>
    <row r="533" spans="22:23" s="2" customFormat="1">
      <c r="V533" s="155"/>
      <c r="W533" s="155"/>
    </row>
    <row r="534" spans="22:23" s="2" customFormat="1">
      <c r="V534" s="155"/>
      <c r="W534" s="155"/>
    </row>
    <row r="535" spans="22:23" s="2" customFormat="1">
      <c r="V535" s="155"/>
      <c r="W535" s="155"/>
    </row>
    <row r="536" spans="22:23" s="2" customFormat="1">
      <c r="V536" s="155"/>
      <c r="W536" s="155"/>
    </row>
    <row r="537" spans="22:23" s="2" customFormat="1">
      <c r="V537" s="155"/>
      <c r="W537" s="155"/>
    </row>
    <row r="538" spans="22:23" s="2" customFormat="1">
      <c r="V538" s="155"/>
      <c r="W538" s="155"/>
    </row>
    <row r="539" spans="22:23" s="2" customFormat="1">
      <c r="V539" s="155"/>
      <c r="W539" s="155"/>
    </row>
    <row r="540" spans="22:23" s="2" customFormat="1">
      <c r="V540" s="155"/>
      <c r="W540" s="155"/>
    </row>
    <row r="541" spans="22:23" s="2" customFormat="1">
      <c r="V541" s="155"/>
      <c r="W541" s="155"/>
    </row>
    <row r="542" spans="22:23" s="2" customFormat="1">
      <c r="V542" s="155"/>
      <c r="W542" s="155"/>
    </row>
    <row r="543" spans="22:23" s="2" customFormat="1">
      <c r="V543" s="155"/>
      <c r="W543" s="155"/>
    </row>
    <row r="544" spans="22:23" s="2" customFormat="1">
      <c r="V544" s="155"/>
      <c r="W544" s="155"/>
    </row>
    <row r="545" spans="22:23" s="2" customFormat="1">
      <c r="V545" s="155"/>
      <c r="W545" s="155"/>
    </row>
    <row r="546" spans="22:23" s="2" customFormat="1">
      <c r="V546" s="155"/>
      <c r="W546" s="155"/>
    </row>
    <row r="547" spans="22:23" s="2" customFormat="1">
      <c r="V547" s="155"/>
      <c r="W547" s="155"/>
    </row>
    <row r="548" spans="22:23" s="2" customFormat="1">
      <c r="V548" s="155"/>
      <c r="W548" s="155"/>
    </row>
    <row r="549" spans="22:23" s="2" customFormat="1">
      <c r="V549" s="155"/>
      <c r="W549" s="155"/>
    </row>
    <row r="550" spans="22:23" s="2" customFormat="1">
      <c r="V550" s="155"/>
      <c r="W550" s="155"/>
    </row>
    <row r="551" spans="22:23" s="2" customFormat="1">
      <c r="V551" s="155"/>
      <c r="W551" s="155"/>
    </row>
    <row r="552" spans="22:23" s="2" customFormat="1">
      <c r="V552" s="155"/>
      <c r="W552" s="155"/>
    </row>
    <row r="553" spans="22:23" s="2" customFormat="1">
      <c r="V553" s="155"/>
      <c r="W553" s="155"/>
    </row>
    <row r="554" spans="22:23" s="2" customFormat="1">
      <c r="V554" s="155"/>
      <c r="W554" s="155"/>
    </row>
    <row r="555" spans="22:23" s="2" customFormat="1">
      <c r="V555" s="155"/>
      <c r="W555" s="155"/>
    </row>
    <row r="556" spans="22:23" s="2" customFormat="1">
      <c r="V556" s="155"/>
      <c r="W556" s="155"/>
    </row>
    <row r="557" spans="22:23" s="2" customFormat="1">
      <c r="V557" s="155"/>
      <c r="W557" s="155"/>
    </row>
    <row r="558" spans="22:23" s="2" customFormat="1">
      <c r="V558" s="155"/>
      <c r="W558" s="155"/>
    </row>
    <row r="559" spans="22:23" s="2" customFormat="1">
      <c r="V559" s="155"/>
      <c r="W559" s="155"/>
    </row>
    <row r="560" spans="22:23" s="2" customFormat="1">
      <c r="V560" s="155"/>
      <c r="W560" s="155"/>
    </row>
    <row r="561" spans="22:23" s="2" customFormat="1">
      <c r="V561" s="155"/>
      <c r="W561" s="155"/>
    </row>
    <row r="562" spans="22:23" s="2" customFormat="1">
      <c r="V562" s="155"/>
      <c r="W562" s="155"/>
    </row>
    <row r="563" spans="22:23" s="2" customFormat="1">
      <c r="V563" s="155"/>
      <c r="W563" s="155"/>
    </row>
    <row r="564" spans="22:23" s="2" customFormat="1">
      <c r="V564" s="155"/>
      <c r="W564" s="155"/>
    </row>
    <row r="565" spans="22:23" s="2" customFormat="1">
      <c r="V565" s="155"/>
      <c r="W565" s="155"/>
    </row>
    <row r="566" spans="22:23" s="2" customFormat="1">
      <c r="V566" s="155"/>
      <c r="W566" s="155"/>
    </row>
    <row r="567" spans="22:23" s="2" customFormat="1">
      <c r="V567" s="155"/>
      <c r="W567" s="155"/>
    </row>
    <row r="568" spans="22:23" s="2" customFormat="1">
      <c r="V568" s="155"/>
      <c r="W568" s="155"/>
    </row>
    <row r="569" spans="22:23" s="2" customFormat="1">
      <c r="V569" s="155"/>
      <c r="W569" s="155"/>
    </row>
    <row r="570" spans="22:23" s="2" customFormat="1">
      <c r="V570" s="155"/>
      <c r="W570" s="155"/>
    </row>
    <row r="571" spans="22:23" s="2" customFormat="1">
      <c r="V571" s="155"/>
      <c r="W571" s="155"/>
    </row>
    <row r="572" spans="22:23" s="2" customFormat="1">
      <c r="V572" s="155"/>
      <c r="W572" s="155"/>
    </row>
    <row r="573" spans="22:23" s="2" customFormat="1">
      <c r="V573" s="155"/>
      <c r="W573" s="155"/>
    </row>
    <row r="574" spans="22:23" s="2" customFormat="1">
      <c r="V574" s="155"/>
      <c r="W574" s="155"/>
    </row>
    <row r="575" spans="22:23" s="2" customFormat="1">
      <c r="V575" s="155"/>
      <c r="W575" s="155"/>
    </row>
    <row r="576" spans="22:23" s="2" customFormat="1">
      <c r="V576" s="155"/>
      <c r="W576" s="155"/>
    </row>
    <row r="577" spans="22:23" s="2" customFormat="1">
      <c r="V577" s="155"/>
      <c r="W577" s="155"/>
    </row>
    <row r="578" spans="22:23" s="2" customFormat="1">
      <c r="V578" s="155"/>
      <c r="W578" s="155"/>
    </row>
    <row r="579" spans="22:23" s="2" customFormat="1">
      <c r="V579" s="155"/>
      <c r="W579" s="155"/>
    </row>
    <row r="580" spans="22:23" s="2" customFormat="1">
      <c r="V580" s="155"/>
      <c r="W580" s="155"/>
    </row>
    <row r="581" spans="22:23" s="2" customFormat="1">
      <c r="V581" s="155"/>
      <c r="W581" s="155"/>
    </row>
    <row r="582" spans="22:23" s="2" customFormat="1">
      <c r="V582" s="155"/>
      <c r="W582" s="155"/>
    </row>
    <row r="583" spans="22:23" s="2" customFormat="1">
      <c r="V583" s="155"/>
      <c r="W583" s="155"/>
    </row>
    <row r="584" spans="22:23" s="2" customFormat="1">
      <c r="V584" s="155"/>
      <c r="W584" s="155"/>
    </row>
    <row r="585" spans="22:23" s="2" customFormat="1">
      <c r="V585" s="155"/>
      <c r="W585" s="155"/>
    </row>
    <row r="586" spans="22:23" s="2" customFormat="1">
      <c r="V586" s="155"/>
      <c r="W586" s="155"/>
    </row>
    <row r="587" spans="22:23" s="2" customFormat="1">
      <c r="V587" s="155"/>
      <c r="W587" s="155"/>
    </row>
    <row r="588" spans="22:23" s="2" customFormat="1">
      <c r="V588" s="155"/>
      <c r="W588" s="155"/>
    </row>
    <row r="589" spans="22:23" s="2" customFormat="1">
      <c r="V589" s="155"/>
      <c r="W589" s="155"/>
    </row>
    <row r="590" spans="22:23" s="2" customFormat="1">
      <c r="V590" s="155"/>
      <c r="W590" s="155"/>
    </row>
    <row r="591" spans="22:23" s="2" customFormat="1">
      <c r="V591" s="155"/>
      <c r="W591" s="155"/>
    </row>
    <row r="592" spans="22:23" s="2" customFormat="1">
      <c r="V592" s="155"/>
      <c r="W592" s="155"/>
    </row>
    <row r="593" spans="22:23" s="2" customFormat="1">
      <c r="V593" s="155"/>
      <c r="W593" s="155"/>
    </row>
    <row r="594" spans="22:23" s="2" customFormat="1">
      <c r="V594" s="155"/>
      <c r="W594" s="155"/>
    </row>
    <row r="595" spans="22:23" s="2" customFormat="1">
      <c r="V595" s="155"/>
      <c r="W595" s="155"/>
    </row>
    <row r="596" spans="22:23" s="2" customFormat="1">
      <c r="V596" s="155"/>
      <c r="W596" s="155"/>
    </row>
    <row r="597" spans="22:23" s="2" customFormat="1">
      <c r="V597" s="155"/>
      <c r="W597" s="155"/>
    </row>
    <row r="598" spans="22:23" s="2" customFormat="1">
      <c r="V598" s="155"/>
      <c r="W598" s="155"/>
    </row>
    <row r="599" spans="22:23" s="2" customFormat="1">
      <c r="V599" s="155"/>
      <c r="W599" s="155"/>
    </row>
    <row r="600" spans="22:23" s="2" customFormat="1">
      <c r="V600" s="155"/>
      <c r="W600" s="155"/>
    </row>
    <row r="601" spans="22:23" s="2" customFormat="1">
      <c r="V601" s="155"/>
      <c r="W601" s="155"/>
    </row>
    <row r="602" spans="22:23" s="2" customFormat="1">
      <c r="V602" s="155"/>
      <c r="W602" s="155"/>
    </row>
    <row r="603" spans="22:23" s="2" customFormat="1">
      <c r="V603" s="155"/>
      <c r="W603" s="155"/>
    </row>
    <row r="604" spans="22:23" s="2" customFormat="1">
      <c r="V604" s="155"/>
      <c r="W604" s="155"/>
    </row>
    <row r="605" spans="22:23" s="2" customFormat="1">
      <c r="V605" s="155"/>
      <c r="W605" s="155"/>
    </row>
    <row r="606" spans="22:23" s="2" customFormat="1">
      <c r="V606" s="155"/>
      <c r="W606" s="155"/>
    </row>
    <row r="607" spans="22:23" s="2" customFormat="1">
      <c r="V607" s="155"/>
      <c r="W607" s="155"/>
    </row>
    <row r="608" spans="22:23" s="2" customFormat="1">
      <c r="V608" s="155"/>
      <c r="W608" s="155"/>
    </row>
    <row r="609" spans="22:23" s="2" customFormat="1">
      <c r="V609" s="155"/>
      <c r="W609" s="155"/>
    </row>
    <row r="610" spans="22:23" s="2" customFormat="1">
      <c r="V610" s="155"/>
      <c r="W610" s="155"/>
    </row>
    <row r="611" spans="22:23" s="2" customFormat="1">
      <c r="V611" s="155"/>
      <c r="W611" s="155"/>
    </row>
    <row r="612" spans="22:23" s="2" customFormat="1">
      <c r="V612" s="155"/>
      <c r="W612" s="155"/>
    </row>
    <row r="613" spans="22:23" s="2" customFormat="1">
      <c r="V613" s="155"/>
      <c r="W613" s="155"/>
    </row>
    <row r="614" spans="22:23" s="2" customFormat="1">
      <c r="V614" s="155"/>
      <c r="W614" s="155"/>
    </row>
    <row r="615" spans="22:23" s="2" customFormat="1">
      <c r="V615" s="155"/>
      <c r="W615" s="155"/>
    </row>
    <row r="616" spans="22:23" s="2" customFormat="1">
      <c r="V616" s="155"/>
      <c r="W616" s="155"/>
    </row>
    <row r="617" spans="22:23" s="2" customFormat="1">
      <c r="V617" s="155"/>
      <c r="W617" s="155"/>
    </row>
    <row r="618" spans="22:23" s="2" customFormat="1">
      <c r="V618" s="155"/>
      <c r="W618" s="155"/>
    </row>
    <row r="619" spans="22:23" s="2" customFormat="1">
      <c r="V619" s="155"/>
      <c r="W619" s="155"/>
    </row>
    <row r="620" spans="22:23" s="2" customFormat="1">
      <c r="V620" s="155"/>
      <c r="W620" s="155"/>
    </row>
    <row r="621" spans="22:23" s="2" customFormat="1">
      <c r="V621" s="155"/>
      <c r="W621" s="155"/>
    </row>
    <row r="622" spans="22:23" s="2" customFormat="1">
      <c r="V622" s="155"/>
      <c r="W622" s="155"/>
    </row>
    <row r="623" spans="22:23" s="2" customFormat="1">
      <c r="V623" s="155"/>
      <c r="W623" s="155"/>
    </row>
    <row r="624" spans="22:23" s="2" customFormat="1">
      <c r="V624" s="155"/>
      <c r="W624" s="155"/>
    </row>
    <row r="625" spans="22:23" s="2" customFormat="1">
      <c r="V625" s="155"/>
      <c r="W625" s="155"/>
    </row>
    <row r="626" spans="22:23" s="2" customFormat="1">
      <c r="V626" s="155"/>
      <c r="W626" s="155"/>
    </row>
    <row r="627" spans="22:23" s="2" customFormat="1">
      <c r="V627" s="155"/>
      <c r="W627" s="155"/>
    </row>
    <row r="628" spans="22:23" s="2" customFormat="1">
      <c r="V628" s="155"/>
      <c r="W628" s="155"/>
    </row>
    <row r="629" spans="22:23" s="2" customFormat="1">
      <c r="V629" s="155"/>
      <c r="W629" s="155"/>
    </row>
    <row r="630" spans="22:23" s="2" customFormat="1">
      <c r="V630" s="155"/>
      <c r="W630" s="155"/>
    </row>
    <row r="631" spans="22:23" s="2" customFormat="1">
      <c r="V631" s="155"/>
      <c r="W631" s="155"/>
    </row>
    <row r="632" spans="22:23" s="2" customFormat="1">
      <c r="V632" s="155"/>
      <c r="W632" s="155"/>
    </row>
    <row r="633" spans="22:23" s="2" customFormat="1">
      <c r="V633" s="155"/>
      <c r="W633" s="155"/>
    </row>
    <row r="634" spans="22:23" s="2" customFormat="1">
      <c r="V634" s="155"/>
      <c r="W634" s="155"/>
    </row>
    <row r="635" spans="22:23" s="2" customFormat="1">
      <c r="V635" s="155"/>
      <c r="W635" s="155"/>
    </row>
    <row r="636" spans="22:23" s="2" customFormat="1">
      <c r="V636" s="155"/>
      <c r="W636" s="155"/>
    </row>
    <row r="637" spans="22:23" s="2" customFormat="1">
      <c r="V637" s="155"/>
      <c r="W637" s="155"/>
    </row>
    <row r="638" spans="22:23" s="2" customFormat="1">
      <c r="V638" s="155"/>
      <c r="W638" s="155"/>
    </row>
    <row r="639" spans="22:23" s="2" customFormat="1">
      <c r="V639" s="155"/>
      <c r="W639" s="155"/>
    </row>
    <row r="640" spans="22:23" s="2" customFormat="1">
      <c r="V640" s="155"/>
      <c r="W640" s="155"/>
    </row>
    <row r="641" spans="22:23" s="2" customFormat="1">
      <c r="V641" s="155"/>
      <c r="W641" s="155"/>
    </row>
    <row r="642" spans="22:23" s="2" customFormat="1">
      <c r="V642" s="155"/>
      <c r="W642" s="155"/>
    </row>
    <row r="643" spans="22:23" s="2" customFormat="1">
      <c r="V643" s="155"/>
      <c r="W643" s="155"/>
    </row>
    <row r="644" spans="22:23" s="2" customFormat="1">
      <c r="V644" s="155"/>
      <c r="W644" s="155"/>
    </row>
    <row r="645" spans="22:23" s="2" customFormat="1">
      <c r="V645" s="155"/>
      <c r="W645" s="155"/>
    </row>
    <row r="646" spans="22:23" s="2" customFormat="1">
      <c r="V646" s="155"/>
      <c r="W646" s="155"/>
    </row>
    <row r="647" spans="22:23" s="2" customFormat="1">
      <c r="V647" s="155"/>
      <c r="W647" s="155"/>
    </row>
    <row r="648" spans="22:23" s="2" customFormat="1">
      <c r="V648" s="155"/>
      <c r="W648" s="155"/>
    </row>
    <row r="649" spans="22:23" s="2" customFormat="1">
      <c r="V649" s="155"/>
      <c r="W649" s="155"/>
    </row>
    <row r="650" spans="22:23" s="2" customFormat="1">
      <c r="V650" s="155"/>
      <c r="W650" s="155"/>
    </row>
    <row r="651" spans="22:23" s="2" customFormat="1">
      <c r="V651" s="155"/>
      <c r="W651" s="155"/>
    </row>
    <row r="652" spans="22:23" s="2" customFormat="1">
      <c r="V652" s="155"/>
      <c r="W652" s="155"/>
    </row>
    <row r="653" spans="22:23" s="2" customFormat="1">
      <c r="V653" s="155"/>
      <c r="W653" s="155"/>
    </row>
    <row r="654" spans="22:23" s="2" customFormat="1">
      <c r="V654" s="155"/>
      <c r="W654" s="155"/>
    </row>
    <row r="655" spans="22:23" s="2" customFormat="1">
      <c r="V655" s="155"/>
      <c r="W655" s="155"/>
    </row>
    <row r="656" spans="22:23" s="2" customFormat="1">
      <c r="V656" s="155"/>
      <c r="W656" s="155"/>
    </row>
    <row r="657" spans="22:23" s="2" customFormat="1">
      <c r="V657" s="155"/>
      <c r="W657" s="155"/>
    </row>
    <row r="658" spans="22:23" s="2" customFormat="1">
      <c r="V658" s="155"/>
      <c r="W658" s="155"/>
    </row>
    <row r="659" spans="22:23" s="2" customFormat="1">
      <c r="V659" s="155"/>
      <c r="W659" s="155"/>
    </row>
    <row r="660" spans="22:23" s="2" customFormat="1">
      <c r="V660" s="155"/>
      <c r="W660" s="155"/>
    </row>
    <row r="661" spans="22:23" s="2" customFormat="1">
      <c r="V661" s="155"/>
      <c r="W661" s="155"/>
    </row>
    <row r="662" spans="22:23" s="2" customFormat="1">
      <c r="V662" s="155"/>
      <c r="W662" s="155"/>
    </row>
    <row r="663" spans="22:23" s="2" customFormat="1">
      <c r="V663" s="155"/>
      <c r="W663" s="155"/>
    </row>
    <row r="664" spans="22:23" s="2" customFormat="1">
      <c r="V664" s="155"/>
      <c r="W664" s="155"/>
    </row>
    <row r="665" spans="22:23" s="2" customFormat="1">
      <c r="V665" s="155"/>
      <c r="W665" s="155"/>
    </row>
    <row r="666" spans="22:23" s="2" customFormat="1">
      <c r="V666" s="155"/>
      <c r="W666" s="155"/>
    </row>
    <row r="667" spans="22:23" s="2" customFormat="1">
      <c r="V667" s="155"/>
      <c r="W667" s="155"/>
    </row>
    <row r="668" spans="22:23" s="2" customFormat="1">
      <c r="V668" s="155"/>
      <c r="W668" s="155"/>
    </row>
    <row r="669" spans="22:23" s="2" customFormat="1">
      <c r="V669" s="155"/>
      <c r="W669" s="155"/>
    </row>
    <row r="670" spans="22:23" s="2" customFormat="1">
      <c r="V670" s="155"/>
      <c r="W670" s="155"/>
    </row>
    <row r="671" spans="22:23" s="2" customFormat="1">
      <c r="V671" s="155"/>
      <c r="W671" s="155"/>
    </row>
    <row r="672" spans="22:23" s="2" customFormat="1">
      <c r="V672" s="155"/>
      <c r="W672" s="155"/>
    </row>
    <row r="673" spans="2:23" s="2" customFormat="1">
      <c r="V673" s="155"/>
      <c r="W673" s="155"/>
    </row>
    <row r="674" spans="2:23" s="2" customFormat="1">
      <c r="V674" s="155"/>
      <c r="W674" s="155"/>
    </row>
    <row r="675" spans="2:23" s="2" customFormat="1">
      <c r="V675" s="155"/>
      <c r="W675" s="155"/>
    </row>
    <row r="676" spans="2:23" s="2" customFormat="1">
      <c r="V676" s="155"/>
      <c r="W676" s="155"/>
    </row>
    <row r="677" spans="2:23" s="2" customFormat="1">
      <c r="V677" s="155"/>
      <c r="W677" s="155"/>
    </row>
    <row r="678" spans="2:23" s="2" customFormat="1">
      <c r="V678" s="155"/>
      <c r="W678" s="155"/>
    </row>
    <row r="679" spans="2:23" s="2" customFormat="1">
      <c r="V679" s="155"/>
      <c r="W679" s="155"/>
    </row>
    <row r="680" spans="2:23" s="2" customFormat="1">
      <c r="V680" s="155"/>
      <c r="W680" s="155"/>
    </row>
    <row r="681" spans="2:23">
      <c r="B681" s="2"/>
      <c r="C681" s="2"/>
      <c r="D681" s="2"/>
      <c r="E681" s="2"/>
      <c r="F681" s="2"/>
      <c r="G681" s="2"/>
    </row>
  </sheetData>
  <sortState xmlns:xlrd2="http://schemas.microsoft.com/office/spreadsheetml/2017/richdata2" columnSort="1" ref="C1:H70">
    <sortCondition descending="1" ref="C1:H1"/>
  </sortState>
  <pageMargins left="0.2" right="0.21" top="0.74803149606299213" bottom="0.74803149606299213" header="0.31496062992125984" footer="0.31496062992125984"/>
  <pageSetup paperSize="9" scale="85" orientation="landscape" r:id="rId1"/>
  <headerFooter>
    <oddFooter>&amp;C_x000D_&amp;1#&amp;"Calibri"&amp;15&amp;K000000 Internal document</oddFooter>
  </headerFooter>
  <ignoredErrors>
    <ignoredError sqref="C12:S40 C683:S1048576 G41:S41 C42:M42 C45:S45 C54:S682 S51 C44:G44 O44:S44 C52:M52 O52:S52 C48:S48 C46:M46 O46:S46 C47:M47 O47:S47 O42:S42 C50:I50 C49:M49 O49:S49 K44 K50:S5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S271"/>
  <sheetViews>
    <sheetView zoomScaleNormal="100" workbookViewId="0">
      <pane xSplit="2" topLeftCell="C1" activePane="topRight" state="frozen"/>
      <selection pane="topRight" activeCell="B1" sqref="B1"/>
    </sheetView>
  </sheetViews>
  <sheetFormatPr defaultRowHeight="15"/>
  <cols>
    <col min="1" max="1" width="0.140625" style="2" customWidth="1"/>
    <col min="2" max="2" width="44.7109375" customWidth="1"/>
    <col min="3" max="9" width="12.7109375" customWidth="1"/>
    <col min="10" max="11" width="13.28515625" style="2" customWidth="1"/>
    <col min="12" max="18" width="12.7109375" customWidth="1"/>
    <col min="19" max="20" width="12.7109375" style="2" customWidth="1"/>
    <col min="21" max="28" width="12.7109375" customWidth="1"/>
    <col min="29" max="45" width="9.140625" style="2"/>
  </cols>
  <sheetData>
    <row r="1" spans="2:28" s="2" customFormat="1">
      <c r="B1" s="3" t="s">
        <v>90</v>
      </c>
      <c r="C1" s="3"/>
      <c r="D1" s="3"/>
      <c r="E1" s="3"/>
      <c r="F1" s="3"/>
      <c r="G1" s="3"/>
      <c r="H1" s="3"/>
      <c r="I1" s="3"/>
      <c r="L1" s="3"/>
      <c r="M1" s="3"/>
      <c r="N1" s="3"/>
      <c r="O1" s="3"/>
      <c r="P1" s="3"/>
      <c r="Q1" s="3"/>
      <c r="R1" s="3"/>
      <c r="U1" s="3"/>
      <c r="V1" s="3"/>
      <c r="W1" s="3"/>
      <c r="X1" s="3"/>
      <c r="Y1" s="3"/>
      <c r="Z1" s="3"/>
      <c r="AA1" s="3"/>
      <c r="AB1" s="3"/>
    </row>
    <row r="2" spans="2:28" s="2" customFormat="1">
      <c r="G2" s="73"/>
      <c r="L2" s="73"/>
      <c r="Q2" s="73"/>
      <c r="V2" s="73"/>
      <c r="Z2" s="155"/>
      <c r="AA2" s="73"/>
      <c r="AB2" s="155"/>
    </row>
    <row r="3" spans="2:28">
      <c r="B3" s="4" t="s">
        <v>91</v>
      </c>
      <c r="C3" s="7" t="s">
        <v>185</v>
      </c>
      <c r="D3" s="7" t="s">
        <v>194</v>
      </c>
      <c r="E3" s="7" t="s">
        <v>199</v>
      </c>
      <c r="F3" s="7" t="s">
        <v>201</v>
      </c>
      <c r="G3" s="7" t="s">
        <v>202</v>
      </c>
      <c r="H3" s="7" t="s">
        <v>205</v>
      </c>
      <c r="I3" s="7" t="s">
        <v>218</v>
      </c>
      <c r="J3" s="7" t="s">
        <v>221</v>
      </c>
      <c r="K3" s="7" t="s">
        <v>223</v>
      </c>
      <c r="L3" s="7" t="s">
        <v>224</v>
      </c>
      <c r="M3" s="7" t="s">
        <v>226</v>
      </c>
      <c r="N3" s="7" t="s">
        <v>228</v>
      </c>
      <c r="O3" s="7" t="s">
        <v>237</v>
      </c>
      <c r="P3" s="7" t="s">
        <v>240</v>
      </c>
      <c r="Q3" s="7" t="s">
        <v>241</v>
      </c>
      <c r="R3" s="7" t="s">
        <v>242</v>
      </c>
      <c r="S3" s="7" t="str">
        <f>+RR!S3</f>
        <v>Kv2 2024</v>
      </c>
      <c r="T3" s="7" t="str">
        <f>+RR!T3</f>
        <v>Kv3 2024</v>
      </c>
      <c r="U3" s="7" t="s">
        <v>271</v>
      </c>
      <c r="V3" s="7" t="s">
        <v>272</v>
      </c>
      <c r="W3" s="7" t="s">
        <v>309</v>
      </c>
      <c r="X3" s="7" t="s">
        <v>311</v>
      </c>
      <c r="Y3" s="7" t="s">
        <v>314</v>
      </c>
      <c r="Z3" s="7" t="s">
        <v>324</v>
      </c>
      <c r="AA3" s="7" t="s">
        <v>325</v>
      </c>
      <c r="AB3" s="7" t="s">
        <v>327</v>
      </c>
    </row>
    <row r="4" spans="2:28">
      <c r="B4" s="9" t="s">
        <v>43</v>
      </c>
      <c r="C4" s="20">
        <f>RR!C13</f>
        <v>982</v>
      </c>
      <c r="D4" s="20">
        <f>RR!D13</f>
        <v>1036</v>
      </c>
      <c r="E4" s="20">
        <f>RR!E13</f>
        <v>957</v>
      </c>
      <c r="F4" s="20">
        <f>RR!F13</f>
        <v>928</v>
      </c>
      <c r="G4" s="20">
        <f>RR!G13</f>
        <v>3903</v>
      </c>
      <c r="H4" s="20">
        <f>RR!H13</f>
        <v>1230</v>
      </c>
      <c r="I4" s="20">
        <f>RR!I13</f>
        <v>1319</v>
      </c>
      <c r="J4" s="20">
        <f>RR!J13</f>
        <v>1278</v>
      </c>
      <c r="K4" s="20">
        <f>RR!K13</f>
        <v>1239</v>
      </c>
      <c r="L4" s="20">
        <f>RR!L13</f>
        <v>5066</v>
      </c>
      <c r="M4" s="20">
        <f>RR!M13</f>
        <v>1411</v>
      </c>
      <c r="N4" s="98">
        <f>RR!N13</f>
        <v>1442</v>
      </c>
      <c r="O4" s="98">
        <f>RR!O13</f>
        <v>1361</v>
      </c>
      <c r="P4" s="98">
        <f>RR!P13</f>
        <v>1304</v>
      </c>
      <c r="Q4" s="20">
        <f>RR!Q13</f>
        <v>5518</v>
      </c>
      <c r="R4" s="20">
        <f>RR!R13</f>
        <v>1379</v>
      </c>
      <c r="S4" s="20">
        <f>RR!S13</f>
        <v>1483</v>
      </c>
      <c r="T4" s="20">
        <f>RR!T13</f>
        <v>1320</v>
      </c>
      <c r="U4" s="98">
        <f>RR!U13</f>
        <v>1420</v>
      </c>
      <c r="V4" s="20">
        <f>RR!V13</f>
        <v>5602</v>
      </c>
      <c r="W4" s="20">
        <f>RR!W13</f>
        <v>1462</v>
      </c>
      <c r="X4" s="20">
        <f>RR!X13</f>
        <v>1442</v>
      </c>
      <c r="Y4" s="20">
        <f>RR!Y13</f>
        <v>1403</v>
      </c>
      <c r="Z4" s="98">
        <f>RR!Z13</f>
        <v>1399</v>
      </c>
      <c r="AA4" s="20">
        <f>RR!AA13</f>
        <v>5706</v>
      </c>
      <c r="AB4" s="98">
        <f>RR!AB13</f>
        <v>1448</v>
      </c>
    </row>
    <row r="5" spans="2:28">
      <c r="B5" s="69" t="s">
        <v>180</v>
      </c>
      <c r="C5" s="20">
        <f>-RR!C64</f>
        <v>243</v>
      </c>
      <c r="D5" s="20">
        <f>-RR!D64</f>
        <v>241</v>
      </c>
      <c r="E5" s="20">
        <f>-RR!E64</f>
        <v>243</v>
      </c>
      <c r="F5" s="20">
        <f>-RR!F64</f>
        <v>246</v>
      </c>
      <c r="G5" s="20">
        <f>-RR!G64</f>
        <v>973</v>
      </c>
      <c r="H5" s="20">
        <f>-RR!H64</f>
        <v>255</v>
      </c>
      <c r="I5" s="20">
        <f>-RR!I64</f>
        <v>264</v>
      </c>
      <c r="J5" s="20">
        <f>-RR!J64</f>
        <v>272</v>
      </c>
      <c r="K5" s="20">
        <f>-RR!K64</f>
        <v>302</v>
      </c>
      <c r="L5" s="20">
        <f>-RR!L64</f>
        <v>1093</v>
      </c>
      <c r="M5" s="20">
        <f>-RR!M64</f>
        <v>315</v>
      </c>
      <c r="N5" s="98">
        <f>-RR!N64</f>
        <v>317</v>
      </c>
      <c r="O5" s="98">
        <f>-RR!O64</f>
        <v>328</v>
      </c>
      <c r="P5" s="98">
        <f>-RR!P64</f>
        <v>348</v>
      </c>
      <c r="Q5" s="20">
        <f>-RR!Q64</f>
        <v>1308</v>
      </c>
      <c r="R5" s="20">
        <f>-RR!R64</f>
        <v>322</v>
      </c>
      <c r="S5" s="20">
        <f>-RR!S64</f>
        <v>327</v>
      </c>
      <c r="T5" s="20">
        <f>-RR!T64</f>
        <v>332</v>
      </c>
      <c r="U5" s="98">
        <f>-RR!U64</f>
        <v>346</v>
      </c>
      <c r="V5" s="20">
        <f>-RR!V64</f>
        <v>1327</v>
      </c>
      <c r="W5" s="20">
        <f>-RR!W64</f>
        <v>345</v>
      </c>
      <c r="X5" s="20">
        <f>-RR!X64</f>
        <v>330</v>
      </c>
      <c r="Y5" s="20">
        <f>-RR!Y64</f>
        <v>345</v>
      </c>
      <c r="Z5" s="98">
        <f>-RR!Z64</f>
        <v>353</v>
      </c>
      <c r="AA5" s="20">
        <f>-RR!AA64</f>
        <v>1373</v>
      </c>
      <c r="AB5" s="98">
        <f>-RR!AB64</f>
        <v>337</v>
      </c>
    </row>
    <row r="6" spans="2:28">
      <c r="B6" s="69" t="s">
        <v>181</v>
      </c>
      <c r="C6" s="20">
        <f>-RR!C65-RR!C67</f>
        <v>55</v>
      </c>
      <c r="D6" s="20">
        <f>-RR!D65-RR!D67</f>
        <v>57</v>
      </c>
      <c r="E6" s="20">
        <f>-RR!E65-RR!E67</f>
        <v>56</v>
      </c>
      <c r="F6" s="20">
        <f>-RR!F65-RR!F67</f>
        <v>63</v>
      </c>
      <c r="G6" s="20">
        <f>-RR!G65-RR!G67</f>
        <v>231</v>
      </c>
      <c r="H6" s="20">
        <f>-RR!H65-RR!H67</f>
        <v>63</v>
      </c>
      <c r="I6" s="20">
        <f>-RR!I65-RR!I67</f>
        <v>69</v>
      </c>
      <c r="J6" s="20">
        <f>-RR!J65-RR!J67</f>
        <v>71</v>
      </c>
      <c r="K6" s="20">
        <f>-RR!K65-RR!K67</f>
        <v>113</v>
      </c>
      <c r="L6" s="20">
        <f>-RR!L65-RR!L67</f>
        <v>316</v>
      </c>
      <c r="M6" s="20">
        <f>-RR!M65-RR!M67</f>
        <v>130</v>
      </c>
      <c r="N6" s="98">
        <f>-RR!N65-RR!N67</f>
        <v>132</v>
      </c>
      <c r="O6" s="98">
        <f>-RR!O65-RR!O67</f>
        <v>142</v>
      </c>
      <c r="P6" s="98">
        <f>-RR!P65-RR!P67</f>
        <v>138</v>
      </c>
      <c r="Q6" s="20">
        <f>-RR!Q65-RR!Q67</f>
        <v>542</v>
      </c>
      <c r="R6" s="20">
        <f>-RR!R65-RR!R67</f>
        <v>133</v>
      </c>
      <c r="S6" s="20">
        <f>-RR!S65-RR!S67</f>
        <v>140</v>
      </c>
      <c r="T6" s="20">
        <f>-RR!T65-RR!T67</f>
        <v>169</v>
      </c>
      <c r="U6" s="98">
        <f>-RR!U65-RR!U67</f>
        <v>178</v>
      </c>
      <c r="V6" s="20">
        <f>-RR!V65-RR!V67</f>
        <v>620</v>
      </c>
      <c r="W6" s="20">
        <f>-RR!W65-RR!W67</f>
        <v>175</v>
      </c>
      <c r="X6" s="20">
        <f>-RR!X65-RR!X67</f>
        <v>167</v>
      </c>
      <c r="Y6" s="20">
        <f>-RR!Y65-RR!Y67</f>
        <v>218</v>
      </c>
      <c r="Z6" s="98">
        <f>-RR!Z65-RR!Z67</f>
        <v>169</v>
      </c>
      <c r="AA6" s="20">
        <f>-RR!AA65-RR!AA67</f>
        <v>729</v>
      </c>
      <c r="AB6" s="98">
        <f>-RR!AB65-RR!AB67</f>
        <v>159</v>
      </c>
    </row>
    <row r="7" spans="2:28" s="2" customFormat="1">
      <c r="B7" s="9" t="s">
        <v>19</v>
      </c>
      <c r="C7" s="104">
        <f t="shared" ref="C7:I7" si="0">SUM(C4:C6)</f>
        <v>1280</v>
      </c>
      <c r="D7" s="104">
        <f t="shared" si="0"/>
        <v>1334</v>
      </c>
      <c r="E7" s="104">
        <f t="shared" si="0"/>
        <v>1256</v>
      </c>
      <c r="F7" s="104">
        <f t="shared" si="0"/>
        <v>1237</v>
      </c>
      <c r="G7" s="104">
        <f>SUM(G4:G6)</f>
        <v>5107</v>
      </c>
      <c r="H7" s="104">
        <f t="shared" si="0"/>
        <v>1548</v>
      </c>
      <c r="I7" s="104">
        <f t="shared" si="0"/>
        <v>1652</v>
      </c>
      <c r="J7" s="104">
        <f t="shared" ref="J7:K7" si="1">SUM(J4:J6)</f>
        <v>1621</v>
      </c>
      <c r="K7" s="104">
        <f t="shared" si="1"/>
        <v>1654</v>
      </c>
      <c r="L7" s="104">
        <f>SUM(L4:L6)</f>
        <v>6475</v>
      </c>
      <c r="M7" s="104">
        <f t="shared" ref="M7:N7" si="2">SUM(M4:M6)</f>
        <v>1856</v>
      </c>
      <c r="N7" s="48">
        <f t="shared" si="2"/>
        <v>1891</v>
      </c>
      <c r="O7" s="48">
        <f t="shared" ref="O7:P7" si="3">SUM(O4:O6)</f>
        <v>1831</v>
      </c>
      <c r="P7" s="48">
        <f t="shared" si="3"/>
        <v>1790</v>
      </c>
      <c r="Q7" s="104">
        <f>SUM(Q4:Q6)</f>
        <v>7368</v>
      </c>
      <c r="R7" s="104">
        <f t="shared" ref="R7:S7" si="4">SUM(R4:R6)</f>
        <v>1834</v>
      </c>
      <c r="S7" s="104">
        <f t="shared" si="4"/>
        <v>1950</v>
      </c>
      <c r="T7" s="104">
        <f t="shared" ref="T7:U7" si="5">SUM(T4:T6)</f>
        <v>1821</v>
      </c>
      <c r="U7" s="48">
        <f t="shared" si="5"/>
        <v>1944</v>
      </c>
      <c r="V7" s="104">
        <f>SUM(V4:V6)</f>
        <v>7549</v>
      </c>
      <c r="W7" s="104">
        <f t="shared" ref="W7:X7" si="6">SUM(W4:W6)</f>
        <v>1982</v>
      </c>
      <c r="X7" s="104">
        <f t="shared" si="6"/>
        <v>1939</v>
      </c>
      <c r="Y7" s="104">
        <f t="shared" ref="Y7:Z7" si="7">SUM(Y4:Y6)</f>
        <v>1966</v>
      </c>
      <c r="Z7" s="48">
        <f t="shared" si="7"/>
        <v>1921</v>
      </c>
      <c r="AA7" s="104">
        <f>SUM(AA4:AA6)</f>
        <v>7808</v>
      </c>
      <c r="AB7" s="48">
        <f t="shared" ref="AB7" si="8">SUM(AB4:AB6)</f>
        <v>1944</v>
      </c>
    </row>
    <row r="8" spans="2:28" s="2" customFormat="1">
      <c r="B8" s="9" t="s">
        <v>227</v>
      </c>
      <c r="C8" s="9">
        <v>-189</v>
      </c>
      <c r="D8" s="9">
        <v>-167</v>
      </c>
      <c r="E8" s="9">
        <v>-279</v>
      </c>
      <c r="F8" s="9">
        <v>-410</v>
      </c>
      <c r="G8" s="48">
        <f>SUM(C8:F8)</f>
        <v>-1045</v>
      </c>
      <c r="H8" s="9">
        <v>-334</v>
      </c>
      <c r="I8" s="9">
        <v>-290</v>
      </c>
      <c r="J8" s="9">
        <v>-272</v>
      </c>
      <c r="K8" s="9">
        <v>-434</v>
      </c>
      <c r="L8" s="48">
        <f>SUM(H8:K8)</f>
        <v>-1330</v>
      </c>
      <c r="M8" s="9">
        <v>-397</v>
      </c>
      <c r="N8" s="9">
        <v>-374</v>
      </c>
      <c r="O8" s="9">
        <v>-397</v>
      </c>
      <c r="P8" s="9">
        <v>-510</v>
      </c>
      <c r="Q8" s="48">
        <f>SUM(M8:P8)</f>
        <v>-1678</v>
      </c>
      <c r="R8" s="9">
        <v>-361</v>
      </c>
      <c r="S8" s="9">
        <v>-496</v>
      </c>
      <c r="T8" s="9">
        <v>-426</v>
      </c>
      <c r="U8" s="9">
        <v>-600</v>
      </c>
      <c r="V8" s="48">
        <f>SUM(R8:U8)</f>
        <v>-1883</v>
      </c>
      <c r="W8" s="9">
        <f>-391-28</f>
        <v>-419</v>
      </c>
      <c r="X8" s="9">
        <f>-41-469</f>
        <v>-510</v>
      </c>
      <c r="Y8" s="9">
        <v>-385</v>
      </c>
      <c r="Z8" s="9">
        <v>-399</v>
      </c>
      <c r="AA8" s="48">
        <f>SUM(W8:Z8)</f>
        <v>-1713</v>
      </c>
      <c r="AB8" s="9">
        <v>-279</v>
      </c>
    </row>
    <row r="9" spans="2:28" s="2" customFormat="1">
      <c r="B9" s="42" t="s">
        <v>92</v>
      </c>
      <c r="C9" s="42">
        <v>65</v>
      </c>
      <c r="D9" s="42">
        <v>4</v>
      </c>
      <c r="E9" s="42">
        <v>40</v>
      </c>
      <c r="F9" s="42">
        <v>5</v>
      </c>
      <c r="G9" s="42">
        <f t="shared" ref="G9:G13" si="9">SUM(C9:F9)</f>
        <v>114</v>
      </c>
      <c r="H9" s="42">
        <v>5</v>
      </c>
      <c r="I9" s="42">
        <v>19</v>
      </c>
      <c r="J9" s="42">
        <v>7</v>
      </c>
      <c r="K9" s="42">
        <v>20</v>
      </c>
      <c r="L9" s="42">
        <f t="shared" ref="L9:L13" si="10">SUM(H9:K9)</f>
        <v>51</v>
      </c>
      <c r="M9" s="42">
        <v>12</v>
      </c>
      <c r="N9" s="42">
        <v>1</v>
      </c>
      <c r="O9" s="42">
        <v>4</v>
      </c>
      <c r="P9" s="42">
        <v>12</v>
      </c>
      <c r="Q9" s="42">
        <f t="shared" ref="Q9:Q13" si="11">SUM(M9:P9)</f>
        <v>29</v>
      </c>
      <c r="R9" s="42">
        <v>5</v>
      </c>
      <c r="S9" s="42">
        <v>4</v>
      </c>
      <c r="T9" s="42">
        <v>20</v>
      </c>
      <c r="U9" s="42">
        <v>24</v>
      </c>
      <c r="V9" s="42">
        <f t="shared" ref="V9:V13" si="12">SUM(R9:U9)</f>
        <v>53</v>
      </c>
      <c r="W9" s="42">
        <v>40</v>
      </c>
      <c r="X9" s="42">
        <v>15</v>
      </c>
      <c r="Y9" s="42">
        <v>3</v>
      </c>
      <c r="Z9" s="42">
        <v>27</v>
      </c>
      <c r="AA9" s="42">
        <f t="shared" ref="AA9:AA13" si="13">SUM(W9:Z9)</f>
        <v>85</v>
      </c>
      <c r="AB9" s="42">
        <v>2</v>
      </c>
    </row>
    <row r="10" spans="2:28" s="2" customFormat="1">
      <c r="B10" s="42" t="s">
        <v>169</v>
      </c>
      <c r="C10" s="42">
        <v>-76</v>
      </c>
      <c r="D10" s="42">
        <v>-79</v>
      </c>
      <c r="E10" s="42">
        <v>-72</v>
      </c>
      <c r="F10" s="42">
        <v>-75</v>
      </c>
      <c r="G10" s="42">
        <f t="shared" si="9"/>
        <v>-302</v>
      </c>
      <c r="H10" s="42">
        <v>-76</v>
      </c>
      <c r="I10" s="42">
        <v>-78</v>
      </c>
      <c r="J10" s="42">
        <v>-81</v>
      </c>
      <c r="K10" s="42">
        <v>-87</v>
      </c>
      <c r="L10" s="42">
        <f t="shared" si="10"/>
        <v>-322</v>
      </c>
      <c r="M10" s="42">
        <v>-85</v>
      </c>
      <c r="N10" s="42">
        <v>-88</v>
      </c>
      <c r="O10" s="42">
        <v>-153</v>
      </c>
      <c r="P10" s="42">
        <v>-139</v>
      </c>
      <c r="Q10" s="42">
        <f t="shared" si="11"/>
        <v>-465</v>
      </c>
      <c r="R10" s="42">
        <v>-85</v>
      </c>
      <c r="S10" s="42">
        <v>-86</v>
      </c>
      <c r="T10" s="42">
        <v>-83</v>
      </c>
      <c r="U10" s="42">
        <v>-93</v>
      </c>
      <c r="V10" s="42">
        <f t="shared" si="12"/>
        <v>-347</v>
      </c>
      <c r="W10" s="42">
        <v>-92</v>
      </c>
      <c r="X10" s="42">
        <v>-87</v>
      </c>
      <c r="Y10" s="42">
        <v>-90</v>
      </c>
      <c r="Z10" s="42">
        <v>-90</v>
      </c>
      <c r="AA10" s="42">
        <f t="shared" si="13"/>
        <v>-359</v>
      </c>
      <c r="AB10" s="42">
        <v>-92</v>
      </c>
    </row>
    <row r="11" spans="2:28" s="2" customFormat="1">
      <c r="B11" s="42" t="s">
        <v>249</v>
      </c>
      <c r="C11" s="42">
        <v>-759</v>
      </c>
      <c r="D11" s="42">
        <v>-101</v>
      </c>
      <c r="E11" s="42">
        <v>126</v>
      </c>
      <c r="F11" s="42">
        <v>183</v>
      </c>
      <c r="G11" s="42">
        <f t="shared" si="9"/>
        <v>-551</v>
      </c>
      <c r="H11" s="42">
        <v>-809</v>
      </c>
      <c r="I11" s="110">
        <v>-505</v>
      </c>
      <c r="J11" s="42">
        <v>-336</v>
      </c>
      <c r="K11" s="42">
        <v>525</v>
      </c>
      <c r="L11" s="42">
        <f t="shared" si="10"/>
        <v>-1125</v>
      </c>
      <c r="M11" s="42">
        <v>-821</v>
      </c>
      <c r="N11" s="42">
        <v>151</v>
      </c>
      <c r="O11" s="42">
        <v>320</v>
      </c>
      <c r="P11" s="42">
        <v>312</v>
      </c>
      <c r="Q11" s="42">
        <f t="shared" si="11"/>
        <v>-38</v>
      </c>
      <c r="R11" s="42">
        <v>-671</v>
      </c>
      <c r="S11" s="42">
        <v>-182</v>
      </c>
      <c r="T11" s="42">
        <v>88</v>
      </c>
      <c r="U11" s="42">
        <v>413</v>
      </c>
      <c r="V11" s="42">
        <f t="shared" si="12"/>
        <v>-352</v>
      </c>
      <c r="W11" s="42">
        <v>-688</v>
      </c>
      <c r="X11" s="42">
        <v>-339</v>
      </c>
      <c r="Y11" s="42">
        <v>243</v>
      </c>
      <c r="Z11" s="42">
        <v>284</v>
      </c>
      <c r="AA11" s="42">
        <f t="shared" si="13"/>
        <v>-500</v>
      </c>
      <c r="AB11" s="42">
        <v>-604</v>
      </c>
    </row>
    <row r="12" spans="2:28" s="2" customFormat="1">
      <c r="B12" s="42" t="s">
        <v>93</v>
      </c>
      <c r="C12" s="42">
        <v>0</v>
      </c>
      <c r="D12" s="42">
        <v>0</v>
      </c>
      <c r="E12" s="42">
        <v>1</v>
      </c>
      <c r="F12" s="42">
        <v>1</v>
      </c>
      <c r="G12" s="42">
        <f t="shared" si="9"/>
        <v>2</v>
      </c>
      <c r="H12" s="42">
        <v>0</v>
      </c>
      <c r="I12" s="42">
        <v>0</v>
      </c>
      <c r="J12" s="42">
        <v>0</v>
      </c>
      <c r="K12" s="42">
        <v>0</v>
      </c>
      <c r="L12" s="42">
        <f t="shared" si="10"/>
        <v>0</v>
      </c>
      <c r="M12" s="42">
        <v>0</v>
      </c>
      <c r="N12" s="42">
        <v>8</v>
      </c>
      <c r="O12" s="42">
        <v>0</v>
      </c>
      <c r="P12" s="42">
        <v>1</v>
      </c>
      <c r="Q12" s="42">
        <f t="shared" si="11"/>
        <v>9</v>
      </c>
      <c r="R12" s="36">
        <v>0</v>
      </c>
      <c r="S12" s="42">
        <v>0</v>
      </c>
      <c r="T12" s="42">
        <v>1</v>
      </c>
      <c r="U12" s="42">
        <v>0</v>
      </c>
      <c r="V12" s="42">
        <f t="shared" si="12"/>
        <v>1</v>
      </c>
      <c r="W12" s="42">
        <v>0</v>
      </c>
      <c r="X12" s="36">
        <f>+W12</f>
        <v>0</v>
      </c>
      <c r="Y12" s="36">
        <v>1</v>
      </c>
      <c r="Z12" s="157">
        <v>0</v>
      </c>
      <c r="AA12" s="42">
        <f t="shared" si="13"/>
        <v>1</v>
      </c>
      <c r="AB12" s="157">
        <v>0</v>
      </c>
    </row>
    <row r="13" spans="2:28" s="2" customFormat="1">
      <c r="B13" s="42" t="s">
        <v>168</v>
      </c>
      <c r="C13" s="42">
        <v>163</v>
      </c>
      <c r="D13" s="42">
        <v>-127</v>
      </c>
      <c r="E13" s="42">
        <v>-58</v>
      </c>
      <c r="F13" s="42">
        <v>-4</v>
      </c>
      <c r="G13" s="42">
        <f t="shared" si="9"/>
        <v>-26</v>
      </c>
      <c r="H13" s="42">
        <v>-6</v>
      </c>
      <c r="I13" s="110">
        <v>0</v>
      </c>
      <c r="J13" s="42">
        <v>-11</v>
      </c>
      <c r="K13" s="42">
        <v>0</v>
      </c>
      <c r="L13" s="42">
        <f t="shared" si="10"/>
        <v>-17</v>
      </c>
      <c r="M13" s="42">
        <v>-16</v>
      </c>
      <c r="N13" s="42">
        <v>-4</v>
      </c>
      <c r="O13" s="42">
        <v>3</v>
      </c>
      <c r="P13" s="42">
        <v>-145</v>
      </c>
      <c r="Q13" s="42">
        <f t="shared" si="11"/>
        <v>-162</v>
      </c>
      <c r="R13" s="42">
        <v>-4</v>
      </c>
      <c r="S13" s="42">
        <v>3</v>
      </c>
      <c r="T13" s="42">
        <v>-2</v>
      </c>
      <c r="U13" s="42">
        <v>-7</v>
      </c>
      <c r="V13" s="42">
        <f t="shared" si="12"/>
        <v>-10</v>
      </c>
      <c r="W13" s="42">
        <v>-2</v>
      </c>
      <c r="X13" s="42">
        <v>-18</v>
      </c>
      <c r="Y13" s="42">
        <v>3</v>
      </c>
      <c r="Z13" s="42">
        <v>-17</v>
      </c>
      <c r="AA13" s="42">
        <f t="shared" si="13"/>
        <v>-34</v>
      </c>
      <c r="AB13" s="42">
        <v>-34</v>
      </c>
    </row>
    <row r="14" spans="2:28" s="2" customFormat="1">
      <c r="B14" s="67" t="s">
        <v>250</v>
      </c>
      <c r="C14" s="22">
        <f t="shared" ref="C14" si="14">SUM(C7:C13)</f>
        <v>484</v>
      </c>
      <c r="D14" s="22">
        <f t="shared" ref="D14" si="15">SUM(D7:D13)</f>
        <v>864</v>
      </c>
      <c r="E14" s="22">
        <f t="shared" ref="E14" si="16">SUM(E7:E13)</f>
        <v>1014</v>
      </c>
      <c r="F14" s="22">
        <f t="shared" ref="F14" si="17">SUM(F7:F13)</f>
        <v>937</v>
      </c>
      <c r="G14" s="22">
        <f t="shared" ref="G14" si="18">SUM(G7:G13)</f>
        <v>3299</v>
      </c>
      <c r="H14" s="22">
        <f t="shared" ref="H14" si="19">SUM(H7:H13)</f>
        <v>328</v>
      </c>
      <c r="I14" s="22">
        <f t="shared" ref="I14" si="20">SUM(I7:I13)</f>
        <v>798</v>
      </c>
      <c r="J14" s="22">
        <f t="shared" ref="J14:M14" si="21">SUM(J7:J13)</f>
        <v>928</v>
      </c>
      <c r="K14" s="22">
        <f t="shared" si="21"/>
        <v>1678</v>
      </c>
      <c r="L14" s="22">
        <f t="shared" si="21"/>
        <v>3732</v>
      </c>
      <c r="M14" s="22">
        <f t="shared" si="21"/>
        <v>549</v>
      </c>
      <c r="N14" s="22">
        <f t="shared" ref="N14:O14" si="22">SUM(N7:N13)</f>
        <v>1585</v>
      </c>
      <c r="O14" s="22">
        <f t="shared" si="22"/>
        <v>1608</v>
      </c>
      <c r="P14" s="22">
        <f t="shared" ref="P14:R14" si="23">SUM(P7:P13)</f>
        <v>1321</v>
      </c>
      <c r="Q14" s="22">
        <f t="shared" si="23"/>
        <v>5063</v>
      </c>
      <c r="R14" s="22">
        <f t="shared" si="23"/>
        <v>718</v>
      </c>
      <c r="S14" s="22">
        <f t="shared" ref="S14:W14" si="24">SUM(S7:S13)</f>
        <v>1193</v>
      </c>
      <c r="T14" s="22">
        <f t="shared" si="24"/>
        <v>1419</v>
      </c>
      <c r="U14" s="22">
        <f t="shared" si="24"/>
        <v>1681</v>
      </c>
      <c r="V14" s="22">
        <f t="shared" si="24"/>
        <v>5011</v>
      </c>
      <c r="W14" s="22">
        <f t="shared" si="24"/>
        <v>821</v>
      </c>
      <c r="X14" s="22">
        <f t="shared" ref="X14:AA14" si="25">SUM(X7:X13)</f>
        <v>1000</v>
      </c>
      <c r="Y14" s="22">
        <f t="shared" si="25"/>
        <v>1741</v>
      </c>
      <c r="Z14" s="22">
        <f t="shared" si="25"/>
        <v>1726</v>
      </c>
      <c r="AA14" s="22">
        <f t="shared" si="25"/>
        <v>5288</v>
      </c>
      <c r="AB14" s="22">
        <f t="shared" ref="AB14" si="26">SUM(AB7:AB13)</f>
        <v>937</v>
      </c>
    </row>
    <row r="15" spans="2:28" s="2" customFormat="1">
      <c r="B15" s="67" t="s">
        <v>187</v>
      </c>
      <c r="C15" s="79">
        <v>568</v>
      </c>
      <c r="D15" s="79">
        <v>466</v>
      </c>
      <c r="E15" s="79">
        <v>155</v>
      </c>
      <c r="F15" s="79">
        <v>81</v>
      </c>
      <c r="G15" s="86">
        <f t="shared" ref="G15" si="27">SUM(C15:F15)</f>
        <v>1270</v>
      </c>
      <c r="H15" s="79">
        <v>413</v>
      </c>
      <c r="I15" s="79">
        <v>313</v>
      </c>
      <c r="J15" s="79">
        <v>-9</v>
      </c>
      <c r="K15" s="79">
        <v>755</v>
      </c>
      <c r="L15" s="86">
        <f t="shared" ref="L15" si="28">SUM(H15:K15)</f>
        <v>1472</v>
      </c>
      <c r="M15" s="79">
        <v>30</v>
      </c>
      <c r="N15" s="79">
        <v>-356</v>
      </c>
      <c r="O15" s="117">
        <v>0</v>
      </c>
      <c r="P15" s="117">
        <v>0</v>
      </c>
      <c r="Q15" s="86">
        <f t="shared" ref="Q15" si="29">SUM(M15:P15)</f>
        <v>-326</v>
      </c>
      <c r="R15" s="117">
        <v>0</v>
      </c>
      <c r="S15" s="117">
        <v>0</v>
      </c>
      <c r="T15" s="117">
        <v>0</v>
      </c>
      <c r="U15" s="117">
        <v>0</v>
      </c>
      <c r="V15" s="117">
        <v>0</v>
      </c>
      <c r="W15" s="117">
        <v>0</v>
      </c>
      <c r="X15" s="117">
        <v>0</v>
      </c>
      <c r="Y15" s="117">
        <v>0</v>
      </c>
      <c r="Z15" s="117">
        <v>0</v>
      </c>
      <c r="AA15" s="117">
        <v>0</v>
      </c>
      <c r="AB15" s="117">
        <v>0</v>
      </c>
    </row>
    <row r="16" spans="2:28" s="2" customFormat="1">
      <c r="B16" s="67" t="s">
        <v>189</v>
      </c>
      <c r="C16" s="70">
        <f t="shared" ref="C16:V16" si="30">SUM(C14:C15)</f>
        <v>1052</v>
      </c>
      <c r="D16" s="70">
        <f t="shared" si="30"/>
        <v>1330</v>
      </c>
      <c r="E16" s="70">
        <f t="shared" si="30"/>
        <v>1169</v>
      </c>
      <c r="F16" s="70">
        <f t="shared" si="30"/>
        <v>1018</v>
      </c>
      <c r="G16" s="70">
        <f t="shared" si="30"/>
        <v>4569</v>
      </c>
      <c r="H16" s="70">
        <f t="shared" si="30"/>
        <v>741</v>
      </c>
      <c r="I16" s="70">
        <f t="shared" si="30"/>
        <v>1111</v>
      </c>
      <c r="J16" s="70">
        <f t="shared" si="30"/>
        <v>919</v>
      </c>
      <c r="K16" s="70">
        <f t="shared" si="30"/>
        <v>2433</v>
      </c>
      <c r="L16" s="70">
        <f t="shared" si="30"/>
        <v>5204</v>
      </c>
      <c r="M16" s="70">
        <f t="shared" si="30"/>
        <v>579</v>
      </c>
      <c r="N16" s="70">
        <f t="shared" si="30"/>
        <v>1229</v>
      </c>
      <c r="O16" s="70">
        <f t="shared" si="30"/>
        <v>1608</v>
      </c>
      <c r="P16" s="70">
        <f t="shared" si="30"/>
        <v>1321</v>
      </c>
      <c r="Q16" s="70">
        <f t="shared" si="30"/>
        <v>4737</v>
      </c>
      <c r="R16" s="70">
        <f t="shared" si="30"/>
        <v>718</v>
      </c>
      <c r="S16" s="70">
        <f t="shared" si="30"/>
        <v>1193</v>
      </c>
      <c r="T16" s="70">
        <f t="shared" si="30"/>
        <v>1419</v>
      </c>
      <c r="U16" s="70">
        <f t="shared" si="30"/>
        <v>1681</v>
      </c>
      <c r="V16" s="70">
        <f t="shared" si="30"/>
        <v>5011</v>
      </c>
      <c r="W16" s="70">
        <f t="shared" ref="W16:X16" si="31">SUM(W14:W15)</f>
        <v>821</v>
      </c>
      <c r="X16" s="70">
        <f t="shared" si="31"/>
        <v>1000</v>
      </c>
      <c r="Y16" s="70">
        <f t="shared" ref="Y16:AA16" si="32">SUM(Y14:Y15)</f>
        <v>1741</v>
      </c>
      <c r="Z16" s="70">
        <f t="shared" si="32"/>
        <v>1726</v>
      </c>
      <c r="AA16" s="70">
        <f t="shared" si="32"/>
        <v>5288</v>
      </c>
      <c r="AB16" s="70">
        <f t="shared" ref="AB16" si="33">SUM(AB14:AB15)</f>
        <v>937</v>
      </c>
    </row>
    <row r="17" spans="2:28" s="2" customFormat="1">
      <c r="B17" s="89"/>
      <c r="C17" s="90"/>
      <c r="D17" s="90"/>
      <c r="E17" s="90"/>
      <c r="F17" s="90"/>
      <c r="G17" s="90"/>
      <c r="H17" s="90"/>
      <c r="I17" s="90"/>
      <c r="L17" s="90"/>
      <c r="M17" s="90"/>
      <c r="N17" s="90"/>
      <c r="O17" s="90"/>
      <c r="P17" s="90"/>
      <c r="Q17" s="90"/>
      <c r="R17" s="90"/>
      <c r="S17" s="90"/>
      <c r="T17" s="90"/>
      <c r="U17" s="90"/>
      <c r="V17" s="90"/>
      <c r="W17" s="90"/>
      <c r="X17" s="90"/>
      <c r="Y17" s="90"/>
      <c r="Z17" s="90"/>
      <c r="AA17" s="90"/>
      <c r="AB17" s="90"/>
    </row>
    <row r="18" spans="2:28" s="2" customFormat="1">
      <c r="B18" s="89"/>
      <c r="C18" s="90"/>
      <c r="D18" s="90"/>
      <c r="E18" s="90"/>
      <c r="F18" s="90"/>
      <c r="G18" s="90"/>
      <c r="H18" s="90"/>
      <c r="I18" s="90"/>
      <c r="L18" s="90"/>
      <c r="M18" s="90"/>
      <c r="N18" s="90"/>
      <c r="O18" s="90"/>
      <c r="P18" s="90"/>
      <c r="Q18" s="90"/>
      <c r="R18" s="90"/>
      <c r="S18" s="90"/>
      <c r="T18" s="90"/>
      <c r="U18" s="90"/>
      <c r="V18" s="90"/>
      <c r="W18" s="90"/>
      <c r="X18" s="90"/>
      <c r="Y18" s="90"/>
      <c r="Z18" s="90"/>
      <c r="AA18" s="90"/>
      <c r="AB18" s="90"/>
    </row>
    <row r="19" spans="2:28" s="2" customFormat="1">
      <c r="B19" s="4" t="s">
        <v>173</v>
      </c>
      <c r="C19" s="7" t="s">
        <v>185</v>
      </c>
      <c r="D19" s="7" t="s">
        <v>195</v>
      </c>
      <c r="E19" s="7" t="s">
        <v>200</v>
      </c>
      <c r="F19" s="7" t="s">
        <v>202</v>
      </c>
      <c r="G19" s="7" t="s">
        <v>202</v>
      </c>
      <c r="H19" s="7" t="s">
        <v>205</v>
      </c>
      <c r="I19" s="7" t="s">
        <v>219</v>
      </c>
      <c r="J19" s="7" t="s">
        <v>222</v>
      </c>
      <c r="K19" s="7" t="s">
        <v>224</v>
      </c>
      <c r="L19" s="7" t="s">
        <v>224</v>
      </c>
      <c r="M19" s="7" t="s">
        <v>226</v>
      </c>
      <c r="N19" s="7" t="s">
        <v>233</v>
      </c>
      <c r="O19" s="7" t="s">
        <v>239</v>
      </c>
      <c r="P19" s="7" t="s">
        <v>241</v>
      </c>
      <c r="Q19" s="7" t="s">
        <v>241</v>
      </c>
      <c r="R19" s="7" t="s">
        <v>242</v>
      </c>
      <c r="S19" s="7" t="s">
        <v>244</v>
      </c>
      <c r="T19" s="7" t="s">
        <v>253</v>
      </c>
      <c r="U19" s="7" t="s">
        <v>272</v>
      </c>
      <c r="V19" s="7" t="s">
        <v>272</v>
      </c>
      <c r="W19" s="7" t="str">
        <f>+W$3</f>
        <v>Kv1 2025</v>
      </c>
      <c r="X19" s="7" t="s">
        <v>312</v>
      </c>
      <c r="Y19" s="7" t="s">
        <v>315</v>
      </c>
      <c r="Z19" s="7" t="s">
        <v>325</v>
      </c>
      <c r="AA19" s="7" t="s">
        <v>325</v>
      </c>
      <c r="AB19" s="7" t="str">
        <f>+$AB$3</f>
        <v>Kv1 2026</v>
      </c>
    </row>
    <row r="20" spans="2:28" s="2" customFormat="1">
      <c r="B20" s="56" t="s">
        <v>268</v>
      </c>
      <c r="C20" s="58">
        <v>-10026</v>
      </c>
      <c r="D20" s="58">
        <v>-10026</v>
      </c>
      <c r="E20" s="58">
        <v>-10026</v>
      </c>
      <c r="F20" s="58">
        <v>-10026</v>
      </c>
      <c r="G20" s="58">
        <v>-10026</v>
      </c>
      <c r="H20" s="58">
        <v>-8367</v>
      </c>
      <c r="I20" s="58">
        <v>-8367</v>
      </c>
      <c r="J20" s="58">
        <v>-8367</v>
      </c>
      <c r="K20" s="58">
        <v>-8367</v>
      </c>
      <c r="L20" s="58">
        <v>-8367</v>
      </c>
      <c r="M20" s="58">
        <v>-20897</v>
      </c>
      <c r="N20" s="58">
        <v>-20897</v>
      </c>
      <c r="O20" s="58">
        <v>-20897</v>
      </c>
      <c r="P20" s="58">
        <v>-20897</v>
      </c>
      <c r="Q20" s="58">
        <v>-20897</v>
      </c>
      <c r="R20" s="58">
        <v>2682</v>
      </c>
      <c r="S20" s="58">
        <v>2682</v>
      </c>
      <c r="T20" s="58">
        <v>2682</v>
      </c>
      <c r="U20" s="58">
        <v>2682</v>
      </c>
      <c r="V20" s="58">
        <v>2682</v>
      </c>
      <c r="W20" s="58">
        <f>+V37</f>
        <v>-6735</v>
      </c>
      <c r="X20" s="58">
        <f>+W20</f>
        <v>-6735</v>
      </c>
      <c r="Y20" s="58">
        <f>+X20</f>
        <v>-6735</v>
      </c>
      <c r="Z20" s="58">
        <f>+W20</f>
        <v>-6735</v>
      </c>
      <c r="AA20" s="58">
        <f>+W20</f>
        <v>-6735</v>
      </c>
      <c r="AB20" s="58">
        <f>+AA37</f>
        <v>-7216</v>
      </c>
    </row>
    <row r="21" spans="2:28" s="2" customFormat="1">
      <c r="B21" s="17" t="s">
        <v>29</v>
      </c>
      <c r="C21" s="48">
        <f>C16</f>
        <v>1052</v>
      </c>
      <c r="D21" s="48">
        <f>D16+C16</f>
        <v>2382</v>
      </c>
      <c r="E21" s="48">
        <f>C16+D16+E16</f>
        <v>3551</v>
      </c>
      <c r="F21" s="48">
        <f>C16+D16+E16+F16</f>
        <v>4569</v>
      </c>
      <c r="G21" s="48">
        <f>G16</f>
        <v>4569</v>
      </c>
      <c r="H21" s="48">
        <f>H16</f>
        <v>741</v>
      </c>
      <c r="I21" s="48">
        <f>I16+H16</f>
        <v>1852</v>
      </c>
      <c r="J21" s="48">
        <f>H16+I16+J16</f>
        <v>2771</v>
      </c>
      <c r="K21" s="48">
        <f>I16+J16+K16+H16</f>
        <v>5204</v>
      </c>
      <c r="L21" s="48">
        <f>L16</f>
        <v>5204</v>
      </c>
      <c r="M21" s="48">
        <f>M16</f>
        <v>579</v>
      </c>
      <c r="N21" s="48">
        <f>N16+M16</f>
        <v>1808</v>
      </c>
      <c r="O21" s="48">
        <f>O16+N16+M16</f>
        <v>3416</v>
      </c>
      <c r="P21" s="48">
        <f>P16+O16+N16+M16</f>
        <v>4737</v>
      </c>
      <c r="Q21" s="48">
        <f>Q16</f>
        <v>4737</v>
      </c>
      <c r="R21" s="48">
        <f>R16</f>
        <v>718</v>
      </c>
      <c r="S21" s="48">
        <f>S16+R16</f>
        <v>1911</v>
      </c>
      <c r="T21" s="48">
        <f>T16+S16+R16</f>
        <v>3330</v>
      </c>
      <c r="U21" s="48">
        <f>U16+T16+S16+R16</f>
        <v>5011</v>
      </c>
      <c r="V21" s="48">
        <f>+U21</f>
        <v>5011</v>
      </c>
      <c r="W21" s="48">
        <f>W16</f>
        <v>821</v>
      </c>
      <c r="X21" s="48">
        <f>X16+W16</f>
        <v>1821</v>
      </c>
      <c r="Y21" s="48">
        <f>Y16+X16+W16</f>
        <v>3562</v>
      </c>
      <c r="Z21" s="48">
        <f>Z16+Y16+X16+W16</f>
        <v>5288</v>
      </c>
      <c r="AA21" s="48">
        <f>+Z21</f>
        <v>5288</v>
      </c>
      <c r="AB21" s="48">
        <f>AB16</f>
        <v>937</v>
      </c>
    </row>
    <row r="22" spans="2:28" s="2" customFormat="1">
      <c r="B22" s="42" t="s">
        <v>177</v>
      </c>
      <c r="C22" s="36">
        <v>0</v>
      </c>
      <c r="D22" s="36">
        <v>0</v>
      </c>
      <c r="E22" s="36">
        <v>0</v>
      </c>
      <c r="F22" s="36">
        <v>0</v>
      </c>
      <c r="G22" s="36">
        <v>0</v>
      </c>
      <c r="H22" s="36">
        <v>0</v>
      </c>
      <c r="I22" s="36">
        <v>0</v>
      </c>
      <c r="J22" s="36">
        <v>0</v>
      </c>
      <c r="K22" s="36">
        <v>0</v>
      </c>
      <c r="L22" s="36">
        <v>0</v>
      </c>
      <c r="M22" s="36">
        <v>0</v>
      </c>
      <c r="N22" s="36">
        <v>0</v>
      </c>
      <c r="O22" s="36">
        <v>0</v>
      </c>
      <c r="P22" s="36">
        <v>0</v>
      </c>
      <c r="Q22" s="36">
        <v>0</v>
      </c>
      <c r="R22" s="36">
        <v>0</v>
      </c>
      <c r="S22" s="36">
        <v>0</v>
      </c>
      <c r="T22" s="36">
        <v>0</v>
      </c>
      <c r="U22" s="36">
        <v>0</v>
      </c>
      <c r="V22" s="36">
        <f>+U22</f>
        <v>0</v>
      </c>
      <c r="W22" s="36">
        <f>+V22</f>
        <v>0</v>
      </c>
      <c r="X22" s="36">
        <f>+W22</f>
        <v>0</v>
      </c>
      <c r="Y22" s="157">
        <f>+X22</f>
        <v>0</v>
      </c>
      <c r="Z22" s="157">
        <f>+Y22</f>
        <v>0</v>
      </c>
      <c r="AA22" s="157">
        <f>+Z22</f>
        <v>0</v>
      </c>
      <c r="AB22" s="157">
        <v>0</v>
      </c>
    </row>
    <row r="23" spans="2:28" s="2" customFormat="1">
      <c r="B23" s="17" t="s">
        <v>94</v>
      </c>
      <c r="C23" s="48">
        <v>-76</v>
      </c>
      <c r="D23" s="48">
        <v>-21</v>
      </c>
      <c r="E23" s="48">
        <v>-8</v>
      </c>
      <c r="F23" s="48">
        <v>-98</v>
      </c>
      <c r="G23" s="48">
        <v>-98</v>
      </c>
      <c r="H23" s="48">
        <v>-117</v>
      </c>
      <c r="I23" s="48">
        <v>-178</v>
      </c>
      <c r="J23" s="48">
        <v>-234</v>
      </c>
      <c r="K23" s="48">
        <v>-306</v>
      </c>
      <c r="L23" s="48">
        <v>-306</v>
      </c>
      <c r="M23" s="48">
        <v>-76</v>
      </c>
      <c r="N23" s="48">
        <v>-168</v>
      </c>
      <c r="O23" s="48">
        <v>-336</v>
      </c>
      <c r="P23" s="48">
        <v>-479</v>
      </c>
      <c r="Q23" s="48">
        <v>-479</v>
      </c>
      <c r="R23" s="48">
        <v>-72</v>
      </c>
      <c r="S23" s="48">
        <v>-119</v>
      </c>
      <c r="T23" s="48">
        <v>-192</v>
      </c>
      <c r="U23" s="48">
        <v>-334</v>
      </c>
      <c r="V23" s="48">
        <f t="shared" ref="V23:V25" si="34">+U23</f>
        <v>-334</v>
      </c>
      <c r="W23" s="48">
        <v>-71</v>
      </c>
      <c r="X23" s="48">
        <v>-148</v>
      </c>
      <c r="Y23" s="48">
        <v>-227</v>
      </c>
      <c r="Z23" s="48">
        <v>-325</v>
      </c>
      <c r="AA23" s="48">
        <f t="shared" ref="AA23:AA25" si="35">+Z23</f>
        <v>-325</v>
      </c>
      <c r="AB23" s="48">
        <v>-80</v>
      </c>
    </row>
    <row r="24" spans="2:28" s="2" customFormat="1">
      <c r="B24" s="17" t="s">
        <v>95</v>
      </c>
      <c r="C24" s="48">
        <v>-80</v>
      </c>
      <c r="D24" s="48">
        <v>-121</v>
      </c>
      <c r="E24" s="48">
        <v>-166</v>
      </c>
      <c r="F24" s="48">
        <v>-199</v>
      </c>
      <c r="G24" s="48">
        <v>-199</v>
      </c>
      <c r="H24" s="48">
        <v>-22</v>
      </c>
      <c r="I24" s="48">
        <v>12</v>
      </c>
      <c r="J24" s="48">
        <v>-77</v>
      </c>
      <c r="K24" s="48">
        <v>-150</v>
      </c>
      <c r="L24" s="48">
        <v>-150</v>
      </c>
      <c r="M24" s="48">
        <v>-315</v>
      </c>
      <c r="N24" s="48">
        <v>-275</v>
      </c>
      <c r="O24" s="48">
        <v>-343</v>
      </c>
      <c r="P24" s="48">
        <v>-325</v>
      </c>
      <c r="Q24" s="48">
        <v>-325</v>
      </c>
      <c r="R24" s="48">
        <v>-106</v>
      </c>
      <c r="S24" s="48">
        <v>-184</v>
      </c>
      <c r="T24" s="48">
        <v>-317</v>
      </c>
      <c r="U24" s="48">
        <v>-365</v>
      </c>
      <c r="V24" s="48">
        <f t="shared" si="34"/>
        <v>-365</v>
      </c>
      <c r="W24" s="48">
        <v>-149</v>
      </c>
      <c r="X24" s="48">
        <v>-267</v>
      </c>
      <c r="Y24" s="48">
        <v>-386</v>
      </c>
      <c r="Z24" s="48">
        <v>-492</v>
      </c>
      <c r="AA24" s="48">
        <f t="shared" si="35"/>
        <v>-492</v>
      </c>
      <c r="AB24" s="48">
        <v>-92</v>
      </c>
    </row>
    <row r="25" spans="2:28" s="2" customFormat="1">
      <c r="B25" s="17" t="s">
        <v>96</v>
      </c>
      <c r="C25" s="48">
        <v>-171</v>
      </c>
      <c r="D25" s="48">
        <v>-420</v>
      </c>
      <c r="E25" s="48">
        <v>-721</v>
      </c>
      <c r="F25" s="48">
        <v>-962</v>
      </c>
      <c r="G25" s="48">
        <v>-962</v>
      </c>
      <c r="H25" s="48">
        <v>-202</v>
      </c>
      <c r="I25" s="48">
        <v>-703</v>
      </c>
      <c r="J25" s="48">
        <v>-978</v>
      </c>
      <c r="K25" s="48">
        <v>-1443</v>
      </c>
      <c r="L25" s="48">
        <v>-1443</v>
      </c>
      <c r="M25" s="48">
        <v>-292</v>
      </c>
      <c r="N25" s="48">
        <v>-811</v>
      </c>
      <c r="O25" s="48">
        <v>-1108</v>
      </c>
      <c r="P25" s="48">
        <v>-1407</v>
      </c>
      <c r="Q25" s="48">
        <v>-1407</v>
      </c>
      <c r="R25" s="48">
        <v>-346</v>
      </c>
      <c r="S25" s="48">
        <v>-741</v>
      </c>
      <c r="T25" s="48">
        <v>-987</v>
      </c>
      <c r="U25" s="48">
        <v>-1395</v>
      </c>
      <c r="V25" s="48">
        <f t="shared" si="34"/>
        <v>-1395</v>
      </c>
      <c r="W25" s="48">
        <v>-286</v>
      </c>
      <c r="X25" s="48">
        <v>-510</v>
      </c>
      <c r="Y25" s="48">
        <v>-830</v>
      </c>
      <c r="Z25" s="48">
        <v>-1120</v>
      </c>
      <c r="AA25" s="48">
        <f t="shared" si="35"/>
        <v>-1120</v>
      </c>
      <c r="AB25" s="48">
        <v>-333</v>
      </c>
    </row>
    <row r="26" spans="2:28" s="2" customFormat="1">
      <c r="B26" s="56" t="s">
        <v>23</v>
      </c>
      <c r="C26" s="58">
        <f t="shared" ref="C26:I26" si="36">SUM(C21:C25)</f>
        <v>725</v>
      </c>
      <c r="D26" s="58">
        <f t="shared" si="36"/>
        <v>1820</v>
      </c>
      <c r="E26" s="58">
        <f t="shared" si="36"/>
        <v>2656</v>
      </c>
      <c r="F26" s="58">
        <f t="shared" si="36"/>
        <v>3310</v>
      </c>
      <c r="G26" s="58">
        <f t="shared" si="36"/>
        <v>3310</v>
      </c>
      <c r="H26" s="58">
        <f t="shared" si="36"/>
        <v>400</v>
      </c>
      <c r="I26" s="58">
        <f t="shared" si="36"/>
        <v>983</v>
      </c>
      <c r="J26" s="58">
        <f t="shared" ref="J26:K26" si="37">SUM(J21:J25)</f>
        <v>1482</v>
      </c>
      <c r="K26" s="58">
        <f t="shared" si="37"/>
        <v>3305</v>
      </c>
      <c r="L26" s="58">
        <f t="shared" ref="L26" si="38">SUM(L21:L25)</f>
        <v>3305</v>
      </c>
      <c r="M26" s="58">
        <f t="shared" ref="M26:N26" si="39">SUM(M21:M25)</f>
        <v>-104</v>
      </c>
      <c r="N26" s="58">
        <f t="shared" si="39"/>
        <v>554</v>
      </c>
      <c r="O26" s="58">
        <f t="shared" ref="O26:R26" si="40">SUM(O21:O25)</f>
        <v>1629</v>
      </c>
      <c r="P26" s="58">
        <f t="shared" si="40"/>
        <v>2526</v>
      </c>
      <c r="Q26" s="58">
        <f t="shared" si="40"/>
        <v>2526</v>
      </c>
      <c r="R26" s="58">
        <f t="shared" si="40"/>
        <v>194</v>
      </c>
      <c r="S26" s="58">
        <f t="shared" ref="S26:W26" si="41">SUM(S21:S25)</f>
        <v>867</v>
      </c>
      <c r="T26" s="58">
        <f t="shared" si="41"/>
        <v>1834</v>
      </c>
      <c r="U26" s="58">
        <f t="shared" si="41"/>
        <v>2917</v>
      </c>
      <c r="V26" s="58">
        <f t="shared" si="41"/>
        <v>2917</v>
      </c>
      <c r="W26" s="58">
        <f t="shared" si="41"/>
        <v>315</v>
      </c>
      <c r="X26" s="58">
        <f>SUM(X21:X25)</f>
        <v>896</v>
      </c>
      <c r="Y26" s="58">
        <f>SUM(Y21:Y25)</f>
        <v>2119</v>
      </c>
      <c r="Z26" s="58">
        <f t="shared" ref="Z26:AA26" si="42">SUM(Z21:Z25)</f>
        <v>3351</v>
      </c>
      <c r="AA26" s="58">
        <f t="shared" si="42"/>
        <v>3351</v>
      </c>
      <c r="AB26" s="58">
        <f t="shared" ref="AB26" si="43">SUM(AB21:AB25)</f>
        <v>432</v>
      </c>
    </row>
    <row r="27" spans="2:28" s="2" customFormat="1">
      <c r="B27" s="17" t="s">
        <v>97</v>
      </c>
      <c r="C27" s="48">
        <v>-157</v>
      </c>
      <c r="D27" s="48">
        <v>-174</v>
      </c>
      <c r="E27" s="48">
        <v>-181</v>
      </c>
      <c r="F27" s="48">
        <v>-573</v>
      </c>
      <c r="G27" s="48">
        <v>-573</v>
      </c>
      <c r="H27" s="48">
        <v>-1</v>
      </c>
      <c r="I27" s="48">
        <v>-248</v>
      </c>
      <c r="J27" s="48">
        <v>-264</v>
      </c>
      <c r="K27" s="48">
        <v>-11199</v>
      </c>
      <c r="L27" s="48">
        <v>-11199</v>
      </c>
      <c r="M27" s="48">
        <v>-45</v>
      </c>
      <c r="N27" s="48">
        <v>-431</v>
      </c>
      <c r="O27" s="48">
        <v>-416</v>
      </c>
      <c r="P27" s="48">
        <v>-447</v>
      </c>
      <c r="Q27" s="48">
        <v>-447</v>
      </c>
      <c r="R27" s="36">
        <v>0</v>
      </c>
      <c r="S27" s="48">
        <v>-1099</v>
      </c>
      <c r="T27" s="48">
        <v>-5105</v>
      </c>
      <c r="U27" s="48">
        <v>-5496</v>
      </c>
      <c r="V27" s="48">
        <f>+U27</f>
        <v>-5496</v>
      </c>
      <c r="W27" s="48">
        <v>-632</v>
      </c>
      <c r="X27" s="48">
        <v>-1207</v>
      </c>
      <c r="Y27" s="48">
        <v>-1309</v>
      </c>
      <c r="Z27" s="48">
        <v>-1312</v>
      </c>
      <c r="AA27" s="48">
        <f>+Z27</f>
        <v>-1312</v>
      </c>
      <c r="AB27" s="48">
        <v>-197</v>
      </c>
    </row>
    <row r="28" spans="2:28" s="2" customFormat="1">
      <c r="B28" s="17" t="s">
        <v>174</v>
      </c>
      <c r="C28" s="36">
        <v>-12</v>
      </c>
      <c r="D28" s="36">
        <v>143</v>
      </c>
      <c r="E28" s="36">
        <v>143</v>
      </c>
      <c r="F28" s="36">
        <v>616</v>
      </c>
      <c r="G28" s="36">
        <v>616</v>
      </c>
      <c r="H28" s="36">
        <v>149</v>
      </c>
      <c r="I28" s="36">
        <v>149</v>
      </c>
      <c r="J28" s="36">
        <v>149</v>
      </c>
      <c r="K28" s="36">
        <v>149</v>
      </c>
      <c r="L28" s="36">
        <v>149</v>
      </c>
      <c r="M28" s="36">
        <v>0</v>
      </c>
      <c r="N28" s="48">
        <v>26442</v>
      </c>
      <c r="O28" s="48">
        <v>26328</v>
      </c>
      <c r="P28" s="48">
        <v>26462</v>
      </c>
      <c r="Q28" s="48">
        <v>26462</v>
      </c>
      <c r="R28" s="36">
        <v>0</v>
      </c>
      <c r="S28" s="36">
        <v>0</v>
      </c>
      <c r="T28" s="36">
        <v>0</v>
      </c>
      <c r="U28" s="36">
        <v>0</v>
      </c>
      <c r="V28" s="36">
        <v>0</v>
      </c>
      <c r="W28" s="36">
        <v>0</v>
      </c>
      <c r="X28" s="36">
        <v>0</v>
      </c>
      <c r="Y28" s="36">
        <v>0</v>
      </c>
      <c r="Z28" s="157">
        <v>0</v>
      </c>
      <c r="AA28" s="157">
        <v>0</v>
      </c>
      <c r="AB28" s="157">
        <v>0</v>
      </c>
    </row>
    <row r="29" spans="2:28" s="2" customFormat="1">
      <c r="B29" s="17" t="s">
        <v>98</v>
      </c>
      <c r="C29" s="36">
        <v>0</v>
      </c>
      <c r="D29" s="48">
        <v>-1355</v>
      </c>
      <c r="E29" s="48">
        <v>-1355</v>
      </c>
      <c r="F29" s="48">
        <v>-1355</v>
      </c>
      <c r="G29" s="48">
        <v>-1355</v>
      </c>
      <c r="H29" s="36">
        <v>0</v>
      </c>
      <c r="I29" s="48">
        <v>-1481</v>
      </c>
      <c r="J29" s="48">
        <v>-1481</v>
      </c>
      <c r="K29" s="48">
        <v>-1481</v>
      </c>
      <c r="L29" s="48">
        <v>-1481</v>
      </c>
      <c r="M29" s="36">
        <v>0</v>
      </c>
      <c r="N29" s="48">
        <v>-1524</v>
      </c>
      <c r="O29" s="48">
        <v>-1524</v>
      </c>
      <c r="P29" s="36">
        <v>-1524</v>
      </c>
      <c r="Q29" s="48">
        <v>-1524</v>
      </c>
      <c r="R29" s="36">
        <v>0</v>
      </c>
      <c r="S29" s="48">
        <v>-1617</v>
      </c>
      <c r="T29" s="48">
        <v>-1617</v>
      </c>
      <c r="U29" s="48">
        <v>-1617</v>
      </c>
      <c r="V29" s="48">
        <f t="shared" ref="V29:X35" si="44">+U29</f>
        <v>-1617</v>
      </c>
      <c r="W29" s="36">
        <v>0</v>
      </c>
      <c r="X29" s="48">
        <v>-1719</v>
      </c>
      <c r="Y29" s="48">
        <v>-1719</v>
      </c>
      <c r="Z29" s="48">
        <v>-1719</v>
      </c>
      <c r="AA29" s="48">
        <f t="shared" ref="AA29:AA31" si="45">+Z29</f>
        <v>-1719</v>
      </c>
      <c r="AB29" s="157">
        <v>0</v>
      </c>
    </row>
    <row r="30" spans="2:28" s="2" customFormat="1">
      <c r="B30" s="9" t="s">
        <v>188</v>
      </c>
      <c r="C30" s="36">
        <v>-8</v>
      </c>
      <c r="D30" s="36">
        <v>-20</v>
      </c>
      <c r="E30" s="36">
        <v>-29</v>
      </c>
      <c r="F30" s="36">
        <v>-29</v>
      </c>
      <c r="G30" s="36">
        <v>-29</v>
      </c>
      <c r="H30" s="36">
        <v>0</v>
      </c>
      <c r="I30" s="36">
        <v>-7</v>
      </c>
      <c r="J30" s="36">
        <v>-7</v>
      </c>
      <c r="K30" s="36">
        <v>-17</v>
      </c>
      <c r="L30" s="36">
        <v>-17</v>
      </c>
      <c r="M30" s="36">
        <v>0</v>
      </c>
      <c r="N30" s="36">
        <v>0</v>
      </c>
      <c r="O30" s="36">
        <v>0</v>
      </c>
      <c r="P30" s="36">
        <v>0</v>
      </c>
      <c r="Q30" s="36">
        <v>0</v>
      </c>
      <c r="R30" s="36">
        <v>0</v>
      </c>
      <c r="S30" s="36">
        <v>0</v>
      </c>
      <c r="T30" s="36">
        <v>0</v>
      </c>
      <c r="U30" s="36">
        <v>0</v>
      </c>
      <c r="V30" s="36">
        <f t="shared" si="44"/>
        <v>0</v>
      </c>
      <c r="W30" s="36">
        <f t="shared" si="44"/>
        <v>0</v>
      </c>
      <c r="X30" s="36">
        <f t="shared" si="44"/>
        <v>0</v>
      </c>
      <c r="Y30" s="36">
        <v>0</v>
      </c>
      <c r="Z30" s="157">
        <v>0</v>
      </c>
      <c r="AA30" s="157">
        <f t="shared" si="45"/>
        <v>0</v>
      </c>
      <c r="AB30" s="157">
        <v>0</v>
      </c>
    </row>
    <row r="31" spans="2:28" s="2" customFormat="1">
      <c r="B31" s="9" t="s">
        <v>216</v>
      </c>
      <c r="C31" s="36">
        <v>0</v>
      </c>
      <c r="D31" s="36">
        <v>0</v>
      </c>
      <c r="E31" s="36">
        <v>0</v>
      </c>
      <c r="F31" s="36">
        <v>0</v>
      </c>
      <c r="G31" s="36">
        <v>0</v>
      </c>
      <c r="H31" s="36">
        <v>-80</v>
      </c>
      <c r="I31" s="48">
        <v>-1486</v>
      </c>
      <c r="J31" s="48">
        <v>-2695</v>
      </c>
      <c r="K31" s="48">
        <v>-3079</v>
      </c>
      <c r="L31" s="48">
        <v>-3079</v>
      </c>
      <c r="M31" s="36">
        <v>-654</v>
      </c>
      <c r="N31" s="48">
        <v>-1611</v>
      </c>
      <c r="O31" s="48">
        <v>-2802</v>
      </c>
      <c r="P31" s="48">
        <v>-3880</v>
      </c>
      <c r="Q31" s="48">
        <v>-3880</v>
      </c>
      <c r="R31" s="48">
        <v>-1085</v>
      </c>
      <c r="S31" s="48">
        <v>-2022</v>
      </c>
      <c r="T31" s="48">
        <v>-2778</v>
      </c>
      <c r="U31" s="48">
        <v>-4127</v>
      </c>
      <c r="V31" s="36">
        <f t="shared" si="44"/>
        <v>-4127</v>
      </c>
      <c r="W31" s="48">
        <v>-1019</v>
      </c>
      <c r="X31" s="48">
        <v>-1596</v>
      </c>
      <c r="Y31" s="48">
        <v>-2150</v>
      </c>
      <c r="Z31" s="48">
        <v>-2658</v>
      </c>
      <c r="AA31" s="48">
        <f t="shared" si="45"/>
        <v>-2658</v>
      </c>
      <c r="AB31" s="48">
        <v>-500</v>
      </c>
    </row>
    <row r="32" spans="2:28" s="2" customFormat="1">
      <c r="B32" s="56" t="s">
        <v>175</v>
      </c>
      <c r="C32" s="58">
        <f t="shared" ref="C32:I32" si="46">SUM(C26:C31)</f>
        <v>548</v>
      </c>
      <c r="D32" s="58">
        <f t="shared" si="46"/>
        <v>414</v>
      </c>
      <c r="E32" s="58">
        <f t="shared" si="46"/>
        <v>1234</v>
      </c>
      <c r="F32" s="58">
        <f t="shared" si="46"/>
        <v>1969</v>
      </c>
      <c r="G32" s="58">
        <f t="shared" si="46"/>
        <v>1969</v>
      </c>
      <c r="H32" s="58">
        <f t="shared" si="46"/>
        <v>468</v>
      </c>
      <c r="I32" s="58">
        <f t="shared" si="46"/>
        <v>-2090</v>
      </c>
      <c r="J32" s="58">
        <f t="shared" ref="J32:M32" si="47">SUM(J26:J31)</f>
        <v>-2816</v>
      </c>
      <c r="K32" s="58">
        <f t="shared" si="47"/>
        <v>-12322</v>
      </c>
      <c r="L32" s="58">
        <f t="shared" si="47"/>
        <v>-12322</v>
      </c>
      <c r="M32" s="58">
        <f t="shared" si="47"/>
        <v>-803</v>
      </c>
      <c r="N32" s="58">
        <f t="shared" ref="N32:O32" si="48">SUM(N26:N31)</f>
        <v>23430</v>
      </c>
      <c r="O32" s="58">
        <f t="shared" si="48"/>
        <v>23215</v>
      </c>
      <c r="P32" s="58">
        <f t="shared" ref="P32:R32" si="49">SUM(P26:P31)</f>
        <v>23137</v>
      </c>
      <c r="Q32" s="58">
        <f t="shared" si="49"/>
        <v>23137</v>
      </c>
      <c r="R32" s="58">
        <f t="shared" si="49"/>
        <v>-891</v>
      </c>
      <c r="S32" s="58">
        <f t="shared" ref="S32:W32" si="50">SUM(S26:S31)</f>
        <v>-3871</v>
      </c>
      <c r="T32" s="58">
        <f t="shared" si="50"/>
        <v>-7666</v>
      </c>
      <c r="U32" s="58">
        <f t="shared" si="50"/>
        <v>-8323</v>
      </c>
      <c r="V32" s="58">
        <f t="shared" si="50"/>
        <v>-8323</v>
      </c>
      <c r="W32" s="58">
        <f t="shared" si="50"/>
        <v>-1336</v>
      </c>
      <c r="X32" s="58">
        <f t="shared" ref="X32:AA32" si="51">SUM(X26:X31)</f>
        <v>-3626</v>
      </c>
      <c r="Y32" s="58">
        <f t="shared" si="51"/>
        <v>-3059</v>
      </c>
      <c r="Z32" s="58">
        <f t="shared" si="51"/>
        <v>-2338</v>
      </c>
      <c r="AA32" s="58">
        <f t="shared" si="51"/>
        <v>-2338</v>
      </c>
      <c r="AB32" s="58">
        <f t="shared" ref="AB32" si="52">SUM(AB26:AB31)</f>
        <v>-265</v>
      </c>
    </row>
    <row r="33" spans="2:28" s="2" customFormat="1">
      <c r="B33" s="17" t="s">
        <v>176</v>
      </c>
      <c r="C33" s="48">
        <v>-433</v>
      </c>
      <c r="D33" s="48">
        <v>-245</v>
      </c>
      <c r="E33" s="48">
        <v>-368</v>
      </c>
      <c r="F33" s="48">
        <v>-446</v>
      </c>
      <c r="G33" s="48">
        <v>-446</v>
      </c>
      <c r="H33" s="48">
        <v>-285</v>
      </c>
      <c r="I33" s="48">
        <v>-760</v>
      </c>
      <c r="J33" s="48">
        <v>-1173</v>
      </c>
      <c r="K33" s="48">
        <v>-518</v>
      </c>
      <c r="L33" s="48">
        <v>-518</v>
      </c>
      <c r="M33" s="48">
        <v>45</v>
      </c>
      <c r="N33" s="48">
        <v>-696</v>
      </c>
      <c r="O33" s="48">
        <v>-431</v>
      </c>
      <c r="P33" s="48">
        <v>390</v>
      </c>
      <c r="Q33" s="48">
        <v>390</v>
      </c>
      <c r="R33" s="48">
        <v>-846</v>
      </c>
      <c r="S33" s="48">
        <v>-762</v>
      </c>
      <c r="T33" s="48">
        <v>-292</v>
      </c>
      <c r="U33" s="48">
        <v>-959</v>
      </c>
      <c r="V33" s="36">
        <f t="shared" si="44"/>
        <v>-959</v>
      </c>
      <c r="W33" s="48">
        <v>1250</v>
      </c>
      <c r="X33" s="48">
        <v>1327</v>
      </c>
      <c r="Y33" s="48">
        <v>1393</v>
      </c>
      <c r="Z33" s="48">
        <v>1675</v>
      </c>
      <c r="AA33" s="48">
        <v>1675</v>
      </c>
      <c r="AB33" s="48">
        <v>-277</v>
      </c>
    </row>
    <row r="34" spans="2:28" s="2" customFormat="1">
      <c r="B34" s="17" t="s">
        <v>235</v>
      </c>
      <c r="C34" s="48">
        <v>15</v>
      </c>
      <c r="D34" s="48">
        <v>-8</v>
      </c>
      <c r="E34" s="48">
        <v>15</v>
      </c>
      <c r="F34" s="48">
        <v>70</v>
      </c>
      <c r="G34" s="48">
        <v>70</v>
      </c>
      <c r="H34" s="48">
        <v>69</v>
      </c>
      <c r="I34" s="48">
        <v>139</v>
      </c>
      <c r="J34" s="48">
        <v>184</v>
      </c>
      <c r="K34" s="48">
        <v>146</v>
      </c>
      <c r="L34" s="48">
        <v>146</v>
      </c>
      <c r="M34" s="48">
        <v>29</v>
      </c>
      <c r="N34" s="48">
        <v>62</v>
      </c>
      <c r="O34" s="48">
        <v>-14</v>
      </c>
      <c r="P34" s="48">
        <v>62</v>
      </c>
      <c r="Q34" s="48">
        <v>62</v>
      </c>
      <c r="R34" s="48">
        <v>18</v>
      </c>
      <c r="S34" s="48">
        <v>-8</v>
      </c>
      <c r="T34" s="48">
        <v>-61</v>
      </c>
      <c r="U34" s="48">
        <v>-72</v>
      </c>
      <c r="V34" s="36">
        <f t="shared" si="44"/>
        <v>-72</v>
      </c>
      <c r="W34" s="48">
        <v>52</v>
      </c>
      <c r="X34" s="48">
        <v>57</v>
      </c>
      <c r="Y34" s="48">
        <v>83</v>
      </c>
      <c r="Z34" s="48">
        <v>65</v>
      </c>
      <c r="AA34" s="48">
        <f t="shared" ref="AA34:AA35" si="53">+Z34</f>
        <v>65</v>
      </c>
      <c r="AB34" s="48">
        <v>-3</v>
      </c>
    </row>
    <row r="35" spans="2:28" s="2" customFormat="1">
      <c r="B35" s="17" t="s">
        <v>236</v>
      </c>
      <c r="C35" s="36">
        <v>16</v>
      </c>
      <c r="D35" s="36">
        <v>16</v>
      </c>
      <c r="E35" s="36">
        <v>27</v>
      </c>
      <c r="F35" s="36">
        <v>66</v>
      </c>
      <c r="G35" s="36">
        <v>66</v>
      </c>
      <c r="H35" s="36">
        <v>75</v>
      </c>
      <c r="I35" s="36">
        <v>119</v>
      </c>
      <c r="J35" s="36">
        <v>134</v>
      </c>
      <c r="K35" s="36">
        <v>164</v>
      </c>
      <c r="L35" s="36">
        <v>164</v>
      </c>
      <c r="M35" s="36">
        <v>-2</v>
      </c>
      <c r="N35" s="36">
        <v>-18</v>
      </c>
      <c r="O35" s="36">
        <v>-2</v>
      </c>
      <c r="P35" s="36">
        <v>-10</v>
      </c>
      <c r="Q35" s="36">
        <v>-10</v>
      </c>
      <c r="R35" s="36">
        <v>-24</v>
      </c>
      <c r="S35" s="36">
        <v>-19</v>
      </c>
      <c r="T35" s="36">
        <v>-44</v>
      </c>
      <c r="U35" s="36">
        <v>-63</v>
      </c>
      <c r="V35" s="36">
        <f t="shared" si="44"/>
        <v>-63</v>
      </c>
      <c r="W35" s="36">
        <v>36</v>
      </c>
      <c r="X35" s="36">
        <v>40</v>
      </c>
      <c r="Y35" s="36">
        <v>38</v>
      </c>
      <c r="Z35" s="157">
        <v>71</v>
      </c>
      <c r="AA35" s="157">
        <f t="shared" si="53"/>
        <v>71</v>
      </c>
      <c r="AB35" s="157">
        <v>2</v>
      </c>
    </row>
    <row r="36" spans="2:28" s="155" customFormat="1">
      <c r="B36" s="17" t="s">
        <v>326</v>
      </c>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v>46</v>
      </c>
      <c r="AA36" s="157">
        <v>46</v>
      </c>
      <c r="AB36" s="157">
        <v>-41</v>
      </c>
    </row>
    <row r="37" spans="2:28" s="2" customFormat="1">
      <c r="B37" s="43" t="s">
        <v>269</v>
      </c>
      <c r="C37" s="22">
        <f t="shared" ref="C37:Y37" si="54">SUM(C32:C35)+C20</f>
        <v>-9880</v>
      </c>
      <c r="D37" s="22">
        <f t="shared" si="54"/>
        <v>-9849</v>
      </c>
      <c r="E37" s="22">
        <f t="shared" si="54"/>
        <v>-9118</v>
      </c>
      <c r="F37" s="22">
        <f t="shared" si="54"/>
        <v>-8367</v>
      </c>
      <c r="G37" s="22">
        <f t="shared" si="54"/>
        <v>-8367</v>
      </c>
      <c r="H37" s="22">
        <f t="shared" si="54"/>
        <v>-8040</v>
      </c>
      <c r="I37" s="22">
        <f t="shared" si="54"/>
        <v>-10959</v>
      </c>
      <c r="J37" s="22">
        <f t="shared" si="54"/>
        <v>-12038</v>
      </c>
      <c r="K37" s="22">
        <f t="shared" si="54"/>
        <v>-20897</v>
      </c>
      <c r="L37" s="22">
        <f t="shared" si="54"/>
        <v>-20897</v>
      </c>
      <c r="M37" s="22">
        <f t="shared" si="54"/>
        <v>-21628</v>
      </c>
      <c r="N37" s="22">
        <f t="shared" si="54"/>
        <v>1881</v>
      </c>
      <c r="O37" s="22">
        <f t="shared" si="54"/>
        <v>1871</v>
      </c>
      <c r="P37" s="22">
        <f t="shared" si="54"/>
        <v>2682</v>
      </c>
      <c r="Q37" s="22">
        <f t="shared" si="54"/>
        <v>2682</v>
      </c>
      <c r="R37" s="22">
        <f t="shared" si="54"/>
        <v>939</v>
      </c>
      <c r="S37" s="22">
        <f t="shared" si="54"/>
        <v>-1978</v>
      </c>
      <c r="T37" s="22">
        <f t="shared" si="54"/>
        <v>-5381</v>
      </c>
      <c r="U37" s="22">
        <f t="shared" si="54"/>
        <v>-6735</v>
      </c>
      <c r="V37" s="22">
        <f t="shared" si="54"/>
        <v>-6735</v>
      </c>
      <c r="W37" s="22">
        <f t="shared" si="54"/>
        <v>-6733</v>
      </c>
      <c r="X37" s="22">
        <f t="shared" si="54"/>
        <v>-8937</v>
      </c>
      <c r="Y37" s="22">
        <f t="shared" si="54"/>
        <v>-8280</v>
      </c>
      <c r="Z37" s="22">
        <f>SUM(Z32:Z36)+Z20</f>
        <v>-7216</v>
      </c>
      <c r="AA37" s="22">
        <f>SUM(AA32:AA36)+AA20</f>
        <v>-7216</v>
      </c>
      <c r="AB37" s="22">
        <f>SUM(AB32:AB36)+AB20</f>
        <v>-7800</v>
      </c>
    </row>
    <row r="38" spans="2:28" s="2" customFormat="1">
      <c r="B38" s="62" t="s">
        <v>11</v>
      </c>
      <c r="C38" s="63">
        <f>(-C37/BR!C23)*100</f>
        <v>31.843233312921004</v>
      </c>
      <c r="D38" s="63">
        <f>(-D37/BR!D23)*100</f>
        <v>32.41935483870968</v>
      </c>
      <c r="E38" s="63">
        <f>(-E37/BR!E23)*100</f>
        <v>28.74074074074074</v>
      </c>
      <c r="F38" s="63">
        <f>(-F37/BR!F23)*100</f>
        <v>25.356082186799199</v>
      </c>
      <c r="G38" s="63">
        <f>(-G37/BR!F23)*100</f>
        <v>25.356082186799199</v>
      </c>
      <c r="H38" s="63">
        <f>(-H37/BR!G23)*100</f>
        <v>23.155348194228441</v>
      </c>
      <c r="I38" s="63">
        <f>(-I37/BR!H23)*100</f>
        <v>30.993523572499221</v>
      </c>
      <c r="J38" s="63">
        <f>(-J37/BR!I23)*100</f>
        <v>32.577397705130977</v>
      </c>
      <c r="K38" s="63">
        <f>(-K37/BR!J23)*100</f>
        <v>55.743171148100721</v>
      </c>
      <c r="L38" s="63">
        <f>(-L37/BR!J23)*100</f>
        <v>55.743171148100721</v>
      </c>
      <c r="M38" s="63">
        <f>(-M37/BR!K23)*100</f>
        <v>56.061587910521268</v>
      </c>
      <c r="N38" s="63">
        <f>(-N37/BR!L23)*100</f>
        <v>-4.2370590620354101</v>
      </c>
      <c r="O38" s="63">
        <f>(-O37/BR!M23)*100</f>
        <v>-4.2674999429783549</v>
      </c>
      <c r="P38" s="63">
        <f>(-P37/BR!N23)*100</f>
        <v>-6.4274929901502631</v>
      </c>
      <c r="Q38" s="63">
        <f>(-Q37/BR!N23)*100</f>
        <v>-6.4274929901502631</v>
      </c>
      <c r="R38" s="63">
        <f>(-R37/BR!O23)*100</f>
        <v>-2.180019966104056</v>
      </c>
      <c r="S38" s="63">
        <f>(-S37/BR!P23)*100</f>
        <v>4.7942217266954286</v>
      </c>
      <c r="T38" s="63">
        <f>(-T37/BR!Q23)*100</f>
        <v>13.306132542037584</v>
      </c>
      <c r="U38" s="63">
        <f>(-U37/BR!R23)*100</f>
        <v>16.201977435107892</v>
      </c>
      <c r="V38" s="63">
        <f>(-V37/BR!R23)*100</f>
        <v>16.201977435107892</v>
      </c>
      <c r="W38" s="63">
        <f>(-W37/BR!S23)*100</f>
        <v>17.306703680855438</v>
      </c>
      <c r="X38" s="63">
        <f>(-X37/BR!T23)*100</f>
        <v>24.274771838331162</v>
      </c>
      <c r="Y38" s="63">
        <f>(-Y37/BR!U23)*100</f>
        <v>22.471300241539339</v>
      </c>
      <c r="Z38" s="63">
        <f>(-Z37/BR!V23)*100</f>
        <v>19.770404668621058</v>
      </c>
      <c r="AA38" s="63">
        <f>+(-AA37/BR!V23)*100</f>
        <v>19.770404668621058</v>
      </c>
      <c r="AB38" s="63">
        <f>+(-AB37/BR!W23)*100</f>
        <v>20.565281586163255</v>
      </c>
    </row>
    <row r="39" spans="2:28" s="2" customFormat="1">
      <c r="B39" s="62" t="s">
        <v>234</v>
      </c>
      <c r="C39" s="64">
        <v>1.6</v>
      </c>
      <c r="D39" s="64">
        <v>1.5</v>
      </c>
      <c r="E39" s="64">
        <v>1.3</v>
      </c>
      <c r="F39" s="64">
        <v>1.2</v>
      </c>
      <c r="G39" s="64">
        <v>1.2</v>
      </c>
      <c r="H39" s="64">
        <v>1.1000000000000001</v>
      </c>
      <c r="I39" s="64">
        <v>1.4</v>
      </c>
      <c r="J39" s="64">
        <v>1.5</v>
      </c>
      <c r="K39" s="64">
        <v>2.4</v>
      </c>
      <c r="L39" s="64">
        <v>2.4</v>
      </c>
      <c r="M39" s="64">
        <v>2.4</v>
      </c>
      <c r="N39" s="102">
        <v>-0.1</v>
      </c>
      <c r="O39" s="102">
        <v>-0.1</v>
      </c>
      <c r="P39" s="102">
        <v>-0.2</v>
      </c>
      <c r="Q39" s="102">
        <v>-0.2</v>
      </c>
      <c r="R39" s="64">
        <v>-0.1</v>
      </c>
      <c r="S39" s="64">
        <v>0.3</v>
      </c>
      <c r="T39" s="64">
        <v>0.8</v>
      </c>
      <c r="U39" s="102">
        <v>0.9</v>
      </c>
      <c r="V39" s="102">
        <f>+U39</f>
        <v>0.9</v>
      </c>
      <c r="W39" s="64">
        <v>0.9</v>
      </c>
      <c r="X39" s="64">
        <v>1.2</v>
      </c>
      <c r="Y39" s="64">
        <v>1.1000000000000001</v>
      </c>
      <c r="Z39" s="163">
        <v>1</v>
      </c>
      <c r="AA39" s="163">
        <f>+Z39</f>
        <v>1</v>
      </c>
      <c r="AB39" s="163">
        <v>1.1000000000000001</v>
      </c>
    </row>
    <row r="40" spans="2:28" s="2" customFormat="1" ht="15.75">
      <c r="B40" s="134" t="s">
        <v>178</v>
      </c>
      <c r="C40" s="65"/>
      <c r="D40" s="65"/>
      <c r="E40" s="65"/>
      <c r="F40" s="65"/>
      <c r="G40" s="65"/>
      <c r="H40" s="65"/>
      <c r="I40" s="65"/>
      <c r="L40" s="65"/>
      <c r="M40" s="65"/>
      <c r="N40" s="65"/>
      <c r="O40" s="127"/>
      <c r="P40" s="65"/>
      <c r="Q40" s="65"/>
      <c r="R40" s="127"/>
      <c r="S40" s="128"/>
      <c r="T40" s="128"/>
      <c r="U40" s="65"/>
      <c r="V40" s="65"/>
      <c r="W40" s="127"/>
      <c r="X40" s="127"/>
      <c r="Y40" s="127"/>
      <c r="Z40" s="65"/>
      <c r="AA40" s="65"/>
      <c r="AB40" s="65"/>
    </row>
    <row r="41" spans="2:28" s="2" customFormat="1">
      <c r="B41" s="143" t="s">
        <v>285</v>
      </c>
      <c r="C41" s="74"/>
      <c r="D41" s="65"/>
      <c r="E41" s="65"/>
      <c r="F41" s="65"/>
      <c r="G41" s="65"/>
      <c r="H41" s="65"/>
      <c r="I41" s="65"/>
      <c r="L41" s="65"/>
      <c r="M41" s="65"/>
      <c r="N41" s="65"/>
      <c r="O41" s="65"/>
      <c r="P41" s="65"/>
      <c r="Q41" s="65"/>
      <c r="R41" s="65"/>
      <c r="S41" s="65"/>
      <c r="T41" s="65"/>
      <c r="U41" s="65"/>
      <c r="V41" s="65"/>
      <c r="W41" s="65"/>
      <c r="X41" s="65"/>
      <c r="Y41" s="65"/>
      <c r="Z41" s="65"/>
      <c r="AA41" s="65"/>
      <c r="AB41" s="65"/>
    </row>
    <row r="42" spans="2:28" s="2" customFormat="1">
      <c r="B42" s="134" t="s">
        <v>286</v>
      </c>
      <c r="C42" s="91"/>
      <c r="D42" s="91"/>
      <c r="E42" s="91"/>
      <c r="F42" s="91"/>
      <c r="G42" s="91"/>
      <c r="H42" s="91"/>
      <c r="I42" s="91"/>
      <c r="L42" s="91"/>
      <c r="M42" s="91"/>
      <c r="N42" s="91"/>
      <c r="O42" s="91"/>
      <c r="P42" s="91"/>
      <c r="Q42" s="91"/>
      <c r="R42" s="91"/>
      <c r="S42" s="91"/>
      <c r="T42" s="91"/>
      <c r="U42" s="91"/>
      <c r="V42" s="91"/>
      <c r="W42" s="91"/>
      <c r="X42" s="91"/>
      <c r="Y42" s="91"/>
      <c r="Z42" s="91"/>
      <c r="AA42" s="91"/>
      <c r="AB42" s="91"/>
    </row>
    <row r="43" spans="2:28" s="2" customFormat="1">
      <c r="C43" s="90"/>
      <c r="D43" s="90"/>
      <c r="E43" s="90"/>
      <c r="F43" s="90"/>
      <c r="G43" s="90"/>
      <c r="H43" s="90"/>
      <c r="I43" s="90"/>
      <c r="L43" s="90"/>
      <c r="M43" s="90"/>
      <c r="N43" s="90"/>
      <c r="O43" s="90"/>
      <c r="P43" s="90"/>
      <c r="Q43" s="90"/>
      <c r="R43" s="90"/>
      <c r="S43" s="90"/>
      <c r="T43" s="90"/>
      <c r="U43" s="90"/>
      <c r="V43" s="90"/>
      <c r="W43" s="90"/>
      <c r="X43" s="90"/>
      <c r="Y43" s="90"/>
      <c r="Z43" s="90"/>
      <c r="AA43" s="90"/>
      <c r="AB43" s="90"/>
    </row>
    <row r="44" spans="2:28" s="2" customFormat="1">
      <c r="G44" s="73"/>
      <c r="L44" s="73"/>
      <c r="Q44" s="73"/>
      <c r="V44" s="73"/>
      <c r="Z44" s="155"/>
      <c r="AA44" s="73"/>
      <c r="AB44" s="155"/>
    </row>
    <row r="45" spans="2:28">
      <c r="B45" s="4" t="s">
        <v>10</v>
      </c>
      <c r="C45" s="7" t="s">
        <v>185</v>
      </c>
      <c r="D45" s="7" t="s">
        <v>194</v>
      </c>
      <c r="E45" s="7" t="s">
        <v>199</v>
      </c>
      <c r="F45" s="7" t="s">
        <v>201</v>
      </c>
      <c r="G45" s="7" t="s">
        <v>202</v>
      </c>
      <c r="H45" s="7" t="s">
        <v>205</v>
      </c>
      <c r="I45" s="7" t="s">
        <v>218</v>
      </c>
      <c r="J45" s="7" t="s">
        <v>221</v>
      </c>
      <c r="K45" s="7" t="s">
        <v>223</v>
      </c>
      <c r="L45" s="7" t="s">
        <v>224</v>
      </c>
      <c r="M45" s="7" t="s">
        <v>226</v>
      </c>
      <c r="N45" s="7" t="s">
        <v>228</v>
      </c>
      <c r="O45" s="7" t="s">
        <v>237</v>
      </c>
      <c r="P45" s="7" t="str">
        <f>P3</f>
        <v>Kv4 2023</v>
      </c>
      <c r="Q45" s="7" t="s">
        <v>241</v>
      </c>
      <c r="R45" s="7" t="s">
        <v>242</v>
      </c>
      <c r="S45" s="7" t="str">
        <f>+S3</f>
        <v>Kv2 2024</v>
      </c>
      <c r="T45" s="7" t="str">
        <f>+T3</f>
        <v>Kv3 2024</v>
      </c>
      <c r="U45" s="7" t="str">
        <f>U3</f>
        <v>Kv4 2024</v>
      </c>
      <c r="V45" s="7" t="s">
        <v>272</v>
      </c>
      <c r="W45" s="7" t="str">
        <f>+W$3</f>
        <v>Kv1 2025</v>
      </c>
      <c r="X45" s="7" t="str">
        <f>+X$3</f>
        <v>Kv2 2025</v>
      </c>
      <c r="Y45" s="7" t="str">
        <f>+Y$3</f>
        <v>Kv3 2025</v>
      </c>
      <c r="Z45" s="7" t="str">
        <f>Z3</f>
        <v>Kv4 2025</v>
      </c>
      <c r="AA45" s="7" t="s">
        <v>325</v>
      </c>
      <c r="AB45" s="7" t="str">
        <f>AB3</f>
        <v>Kv1 2026</v>
      </c>
    </row>
    <row r="46" spans="2:28" s="2" customFormat="1">
      <c r="B46" s="9" t="s">
        <v>99</v>
      </c>
      <c r="C46" s="20">
        <v>3775</v>
      </c>
      <c r="D46" s="20">
        <v>3567</v>
      </c>
      <c r="E46" s="20">
        <v>3653</v>
      </c>
      <c r="F46" s="20">
        <f>C14+D14+E14+F14</f>
        <v>3299</v>
      </c>
      <c r="G46" s="20">
        <f>G14</f>
        <v>3299</v>
      </c>
      <c r="H46" s="20">
        <f>D14+E14+F14+H14</f>
        <v>3143</v>
      </c>
      <c r="I46" s="20">
        <f>E14+F14+H14+I14</f>
        <v>3077</v>
      </c>
      <c r="J46" s="20">
        <f>F14+H14+I14+J14</f>
        <v>2991</v>
      </c>
      <c r="K46" s="20">
        <f>H14+I14+J14+K14</f>
        <v>3732</v>
      </c>
      <c r="L46" s="20">
        <f>L14</f>
        <v>3732</v>
      </c>
      <c r="M46" s="20">
        <f>I14+J14+K14+M14</f>
        <v>3953</v>
      </c>
      <c r="N46" s="20">
        <f>J14+K14+M14+N14</f>
        <v>4740</v>
      </c>
      <c r="O46" s="20">
        <f>K14+M14+N14+O14</f>
        <v>5420</v>
      </c>
      <c r="P46" s="20">
        <f>M14+N14+O14+P14</f>
        <v>5063</v>
      </c>
      <c r="Q46" s="20">
        <f>Q14</f>
        <v>5063</v>
      </c>
      <c r="R46" s="20">
        <f>N14+O14+P14+R14</f>
        <v>5232</v>
      </c>
      <c r="S46" s="98">
        <f>O14+P14+R14+S14</f>
        <v>4840</v>
      </c>
      <c r="T46" s="98">
        <f>P14+S14+T14+R14</f>
        <v>4651</v>
      </c>
      <c r="U46" s="20">
        <f>R14+S14+T14+U14</f>
        <v>5011</v>
      </c>
      <c r="V46" s="20">
        <f>+U46</f>
        <v>5011</v>
      </c>
      <c r="W46" s="20">
        <f>S14+T14+U14+W14</f>
        <v>5114</v>
      </c>
      <c r="X46" s="20">
        <f>T14+U14+W14+X14</f>
        <v>4921</v>
      </c>
      <c r="Y46" s="20">
        <f>U14+Y14+X14+W14</f>
        <v>5243</v>
      </c>
      <c r="Z46" s="20">
        <f>W14+X14+Y14+Z14</f>
        <v>5288</v>
      </c>
      <c r="AA46" s="20">
        <f>+Z46</f>
        <v>5288</v>
      </c>
      <c r="AB46" s="20">
        <f>X14+Y14+Z14+AB14</f>
        <v>5404</v>
      </c>
    </row>
    <row r="47" spans="2:28" s="2" customFormat="1">
      <c r="B47" s="17" t="s">
        <v>100</v>
      </c>
      <c r="C47" s="20">
        <v>3123</v>
      </c>
      <c r="D47" s="20">
        <f>RR!D89</f>
        <v>3547</v>
      </c>
      <c r="E47" s="20">
        <f>RR!E89</f>
        <v>3820</v>
      </c>
      <c r="F47" s="20">
        <f>RR!F89</f>
        <v>3903</v>
      </c>
      <c r="G47" s="20">
        <f>RR!G89</f>
        <v>3903</v>
      </c>
      <c r="H47" s="20">
        <f>RR!H89</f>
        <v>4151</v>
      </c>
      <c r="I47" s="20">
        <f>RR!I89</f>
        <v>4434</v>
      </c>
      <c r="J47" s="20">
        <f>RR!J89</f>
        <v>4755</v>
      </c>
      <c r="K47" s="20">
        <f>RR!K89</f>
        <v>5066</v>
      </c>
      <c r="L47" s="20">
        <f>RR!L89</f>
        <v>5066</v>
      </c>
      <c r="M47" s="20">
        <f>RR!M89</f>
        <v>5247</v>
      </c>
      <c r="N47" s="20">
        <f>RR!N89</f>
        <v>5370</v>
      </c>
      <c r="O47" s="20">
        <f>RR!O89</f>
        <v>5453</v>
      </c>
      <c r="P47" s="20">
        <f>RR!P89</f>
        <v>5518</v>
      </c>
      <c r="Q47" s="20">
        <f>RR!Q89</f>
        <v>5518</v>
      </c>
      <c r="R47" s="20">
        <f>RR!R89</f>
        <v>5486</v>
      </c>
      <c r="S47" s="20">
        <f>RR!S89</f>
        <v>5527</v>
      </c>
      <c r="T47" s="20">
        <f>RR!T89</f>
        <v>5486</v>
      </c>
      <c r="U47" s="20">
        <f>RR!U89</f>
        <v>5602</v>
      </c>
      <c r="V47" s="20">
        <f>+U47</f>
        <v>5602</v>
      </c>
      <c r="W47" s="20">
        <f>RR!W89</f>
        <v>5685</v>
      </c>
      <c r="X47" s="20">
        <f>RR!X89</f>
        <v>5644</v>
      </c>
      <c r="Y47" s="20">
        <f>RR!Y89</f>
        <v>5727</v>
      </c>
      <c r="Z47" s="20">
        <f>RR!Z89</f>
        <v>5706</v>
      </c>
      <c r="AA47" s="20">
        <f>+Z47</f>
        <v>5706</v>
      </c>
      <c r="AB47" s="20">
        <f>RR!AB89</f>
        <v>5692</v>
      </c>
    </row>
    <row r="48" spans="2:28" s="2" customFormat="1">
      <c r="B48" s="43" t="s">
        <v>10</v>
      </c>
      <c r="C48" s="44">
        <f t="shared" ref="C48:I48" si="55">C46/C47</f>
        <v>1.2087736151136728</v>
      </c>
      <c r="D48" s="44">
        <f t="shared" si="55"/>
        <v>1.0056385678037778</v>
      </c>
      <c r="E48" s="44">
        <f t="shared" si="55"/>
        <v>0.95628272251308899</v>
      </c>
      <c r="F48" s="44">
        <f t="shared" si="55"/>
        <v>0.84524724570842946</v>
      </c>
      <c r="G48" s="44">
        <f t="shared" si="55"/>
        <v>0.84524724570842946</v>
      </c>
      <c r="H48" s="44">
        <f t="shared" si="55"/>
        <v>0.75716694772344018</v>
      </c>
      <c r="I48" s="44">
        <f t="shared" si="55"/>
        <v>0.69395579612088409</v>
      </c>
      <c r="J48" s="44">
        <f t="shared" ref="J48:M48" si="56">J46/J47</f>
        <v>0.6290220820189274</v>
      </c>
      <c r="K48" s="44">
        <f t="shared" si="56"/>
        <v>0.73667587840505333</v>
      </c>
      <c r="L48" s="44">
        <f t="shared" si="56"/>
        <v>0.73667587840505333</v>
      </c>
      <c r="M48" s="44">
        <f t="shared" si="56"/>
        <v>0.75338288545835719</v>
      </c>
      <c r="N48" s="44">
        <f t="shared" ref="N48:O48" si="57">N46/N47</f>
        <v>0.88268156424581001</v>
      </c>
      <c r="O48" s="44">
        <f t="shared" si="57"/>
        <v>0.99394828534751511</v>
      </c>
      <c r="P48" s="44">
        <f t="shared" ref="P48:R48" si="58">P46/P47</f>
        <v>0.91754258789416454</v>
      </c>
      <c r="Q48" s="44">
        <f t="shared" si="58"/>
        <v>0.91754258789416454</v>
      </c>
      <c r="R48" s="44">
        <f t="shared" si="58"/>
        <v>0.95370032810791106</v>
      </c>
      <c r="S48" s="44">
        <f t="shared" ref="S48:W48" si="59">S46/S47</f>
        <v>0.87570110367287857</v>
      </c>
      <c r="T48" s="44">
        <f t="shared" si="59"/>
        <v>0.84779438570907761</v>
      </c>
      <c r="U48" s="44">
        <f t="shared" si="59"/>
        <v>0.89450196358443412</v>
      </c>
      <c r="V48" s="44">
        <f t="shared" si="59"/>
        <v>0.89450196358443412</v>
      </c>
      <c r="W48" s="44">
        <f t="shared" si="59"/>
        <v>0.89956024626209319</v>
      </c>
      <c r="X48" s="44">
        <f t="shared" ref="X48:AA48" si="60">X46/X47</f>
        <v>0.87189936215450037</v>
      </c>
      <c r="Y48" s="44">
        <f t="shared" si="60"/>
        <v>0.91548803911297361</v>
      </c>
      <c r="Z48" s="44">
        <f t="shared" si="60"/>
        <v>0.9267437784787943</v>
      </c>
      <c r="AA48" s="44">
        <f t="shared" si="60"/>
        <v>0.9267437784787943</v>
      </c>
      <c r="AB48" s="44">
        <f t="shared" ref="AB48" si="61">AB46/AB47</f>
        <v>0.94940267041461701</v>
      </c>
    </row>
    <row r="49" spans="2:28" s="2" customFormat="1">
      <c r="Z49" s="155"/>
      <c r="AA49" s="155"/>
      <c r="AB49" s="155"/>
    </row>
    <row r="50" spans="2:28" s="2" customFormat="1">
      <c r="G50" s="73"/>
      <c r="L50" s="73"/>
      <c r="Q50" s="73"/>
      <c r="V50" s="73"/>
      <c r="Z50" s="155"/>
      <c r="AA50" s="73"/>
      <c r="AB50" s="155"/>
    </row>
    <row r="51" spans="2:28">
      <c r="B51" s="4" t="s">
        <v>24</v>
      </c>
      <c r="C51" s="7" t="s">
        <v>185</v>
      </c>
      <c r="D51" s="7" t="s">
        <v>194</v>
      </c>
      <c r="E51" s="7" t="s">
        <v>199</v>
      </c>
      <c r="F51" s="7" t="s">
        <v>201</v>
      </c>
      <c r="G51" s="7" t="s">
        <v>202</v>
      </c>
      <c r="H51" s="7" t="s">
        <v>205</v>
      </c>
      <c r="I51" s="7" t="s">
        <v>218</v>
      </c>
      <c r="J51" s="7" t="s">
        <v>221</v>
      </c>
      <c r="K51" s="7" t="s">
        <v>223</v>
      </c>
      <c r="L51" s="7" t="s">
        <v>224</v>
      </c>
      <c r="M51" s="7" t="s">
        <v>226</v>
      </c>
      <c r="N51" s="7" t="s">
        <v>228</v>
      </c>
      <c r="O51" s="7" t="s">
        <v>237</v>
      </c>
      <c r="P51" s="7" t="str">
        <f>P3</f>
        <v>Kv4 2023</v>
      </c>
      <c r="Q51" s="7" t="s">
        <v>241</v>
      </c>
      <c r="R51" s="7" t="s">
        <v>242</v>
      </c>
      <c r="S51" s="7" t="str">
        <f>+S45</f>
        <v>Kv2 2024</v>
      </c>
      <c r="T51" s="7" t="str">
        <f>+T45</f>
        <v>Kv3 2024</v>
      </c>
      <c r="U51" s="7" t="str">
        <f>U3</f>
        <v>Kv4 2024</v>
      </c>
      <c r="V51" s="7" t="s">
        <v>272</v>
      </c>
      <c r="W51" s="7" t="str">
        <f>+W$3</f>
        <v>Kv1 2025</v>
      </c>
      <c r="X51" s="7" t="str">
        <f>+X$3</f>
        <v>Kv2 2025</v>
      </c>
      <c r="Y51" s="7" t="str">
        <f>+Y$3</f>
        <v>Kv3 2025</v>
      </c>
      <c r="Z51" s="7" t="str">
        <f>Z3</f>
        <v>Kv4 2025</v>
      </c>
      <c r="AA51" s="7" t="s">
        <v>325</v>
      </c>
      <c r="AB51" s="7" t="str">
        <f>AB3</f>
        <v>Kv1 2026</v>
      </c>
    </row>
    <row r="52" spans="2:28" s="2" customFormat="1">
      <c r="B52" s="9" t="s">
        <v>101</v>
      </c>
      <c r="C52" s="48">
        <v>4386</v>
      </c>
      <c r="D52" s="48">
        <v>4382</v>
      </c>
      <c r="E52" s="48">
        <v>4053</v>
      </c>
      <c r="F52" s="48">
        <v>3310</v>
      </c>
      <c r="G52" s="20">
        <f>G26</f>
        <v>3310</v>
      </c>
      <c r="H52" s="48">
        <f>(G26-C26)+H26</f>
        <v>2985</v>
      </c>
      <c r="I52" s="48">
        <f>(G26-D26)+I26</f>
        <v>2473</v>
      </c>
      <c r="J52" s="48">
        <f>(F26-E26)+J26</f>
        <v>2136</v>
      </c>
      <c r="K52" s="48">
        <f>(G26-F26)+K26</f>
        <v>3305</v>
      </c>
      <c r="L52" s="20">
        <f>L26</f>
        <v>3305</v>
      </c>
      <c r="M52" s="48">
        <f>(L26-H26)+M26</f>
        <v>2801</v>
      </c>
      <c r="N52" s="48">
        <f>(L26-I26)+N26</f>
        <v>2876</v>
      </c>
      <c r="O52" s="48">
        <f>(L26-J26)+O26</f>
        <v>3452</v>
      </c>
      <c r="P52" s="48">
        <f>(L26-K26)+P26</f>
        <v>2526</v>
      </c>
      <c r="Q52" s="20">
        <f>Q26</f>
        <v>2526</v>
      </c>
      <c r="R52" s="48">
        <f>(Q26-M26)+R26</f>
        <v>2824</v>
      </c>
      <c r="S52" s="48">
        <f>(Q26-N26)+S26</f>
        <v>2839</v>
      </c>
      <c r="T52" s="48">
        <f>(Q26-O26)+T26</f>
        <v>2731</v>
      </c>
      <c r="U52" s="48">
        <f>+U26</f>
        <v>2917</v>
      </c>
      <c r="V52" s="20">
        <f>+U52</f>
        <v>2917</v>
      </c>
      <c r="W52" s="48">
        <f>(V26-R26)+W26</f>
        <v>3038</v>
      </c>
      <c r="X52" s="48">
        <f>(V26-S26)+X26</f>
        <v>2946</v>
      </c>
      <c r="Y52" s="48">
        <f>(V26-T26)+Y26</f>
        <v>3202</v>
      </c>
      <c r="Z52" s="48">
        <f>+Z26</f>
        <v>3351</v>
      </c>
      <c r="AA52" s="20">
        <f>+Z52</f>
        <v>3351</v>
      </c>
      <c r="AB52" s="48">
        <f>(AA26-W26)+AB26</f>
        <v>3468</v>
      </c>
    </row>
    <row r="53" spans="2:28" s="2" customFormat="1">
      <c r="B53" s="9" t="s">
        <v>251</v>
      </c>
      <c r="C53" s="20">
        <v>271071783</v>
      </c>
      <c r="D53" s="20">
        <v>271071783</v>
      </c>
      <c r="E53" s="20">
        <v>271071783</v>
      </c>
      <c r="F53" s="20">
        <v>271071783</v>
      </c>
      <c r="G53" s="20">
        <v>271071783</v>
      </c>
      <c r="H53" s="20">
        <v>271071253</v>
      </c>
      <c r="I53" s="20">
        <v>269985191</v>
      </c>
      <c r="J53" s="20">
        <v>267202271</v>
      </c>
      <c r="K53" s="20">
        <v>263885220</v>
      </c>
      <c r="L53" s="20">
        <v>263885220</v>
      </c>
      <c r="M53" s="20">
        <v>260044720</v>
      </c>
      <c r="N53" s="20">
        <v>256538341</v>
      </c>
      <c r="O53" s="20">
        <v>253668430</v>
      </c>
      <c r="P53" s="20">
        <v>250349374</v>
      </c>
      <c r="Q53" s="20">
        <v>250349374</v>
      </c>
      <c r="R53" s="20">
        <v>246752073</v>
      </c>
      <c r="S53" s="20">
        <v>243261237</v>
      </c>
      <c r="T53" s="20">
        <v>240304515</v>
      </c>
      <c r="U53" s="20">
        <v>237573828</v>
      </c>
      <c r="V53" s="20">
        <v>237573828</v>
      </c>
      <c r="W53" s="20">
        <v>230773406</v>
      </c>
      <c r="X53" s="20">
        <v>232435058</v>
      </c>
      <c r="Y53" s="20">
        <v>230085873</v>
      </c>
      <c r="Z53" s="20">
        <v>228138072</v>
      </c>
      <c r="AA53" s="20">
        <v>228138072</v>
      </c>
      <c r="AB53" s="20">
        <f>+RR!AB36</f>
        <v>224544324</v>
      </c>
    </row>
    <row r="54" spans="2:28" s="2" customFormat="1">
      <c r="B54" s="43" t="s">
        <v>24</v>
      </c>
      <c r="C54" s="45">
        <f t="shared" ref="C54:I54" si="62">C52*1000000/C53</f>
        <v>16.180215998357895</v>
      </c>
      <c r="D54" s="45">
        <f t="shared" si="62"/>
        <v>16.165459759417306</v>
      </c>
      <c r="E54" s="45">
        <f t="shared" si="62"/>
        <v>14.951759106553705</v>
      </c>
      <c r="F54" s="45">
        <f t="shared" si="62"/>
        <v>12.210787723338951</v>
      </c>
      <c r="G54" s="45">
        <f t="shared" si="62"/>
        <v>12.210787723338951</v>
      </c>
      <c r="H54" s="45">
        <f t="shared" si="62"/>
        <v>11.011864839832352</v>
      </c>
      <c r="I54" s="45">
        <f t="shared" si="62"/>
        <v>9.1597616552235266</v>
      </c>
      <c r="J54" s="45">
        <f t="shared" ref="J54:M54" si="63">J52*1000000/J53</f>
        <v>7.9939440335071108</v>
      </c>
      <c r="K54" s="45">
        <f t="shared" si="63"/>
        <v>12.524384654813179</v>
      </c>
      <c r="L54" s="45">
        <f t="shared" si="63"/>
        <v>12.524384654813179</v>
      </c>
      <c r="M54" s="45">
        <f t="shared" si="63"/>
        <v>10.771224272502053</v>
      </c>
      <c r="N54" s="45">
        <f t="shared" ref="N54:O54" si="64">N52*1000000/N53</f>
        <v>11.210799870261887</v>
      </c>
      <c r="O54" s="45">
        <f t="shared" si="64"/>
        <v>13.608315390291176</v>
      </c>
      <c r="P54" s="94">
        <f t="shared" ref="P54:R54" si="65">P52*1000000/P53</f>
        <v>10.089899405939796</v>
      </c>
      <c r="Q54" s="45">
        <f t="shared" si="65"/>
        <v>10.089899405939796</v>
      </c>
      <c r="R54" s="45">
        <f t="shared" si="65"/>
        <v>11.444686018909353</v>
      </c>
      <c r="S54" s="45">
        <f t="shared" ref="S54:W54" si="66">S52*1000000/S53</f>
        <v>11.670581120986407</v>
      </c>
      <c r="T54" s="45">
        <f t="shared" si="66"/>
        <v>11.364746933697853</v>
      </c>
      <c r="U54" s="94">
        <f t="shared" si="66"/>
        <v>12.278288499017661</v>
      </c>
      <c r="V54" s="45">
        <f t="shared" si="66"/>
        <v>12.278288499017661</v>
      </c>
      <c r="W54" s="45">
        <f t="shared" si="66"/>
        <v>13.164428487050193</v>
      </c>
      <c r="X54" s="45">
        <f t="shared" ref="X54:AA54" si="67">X52*1000000/X53</f>
        <v>12.67450799095892</v>
      </c>
      <c r="Y54" s="45">
        <f t="shared" si="67"/>
        <v>13.916543237750194</v>
      </c>
      <c r="Z54" s="94">
        <f t="shared" si="67"/>
        <v>14.688473390798183</v>
      </c>
      <c r="AA54" s="45">
        <f t="shared" si="67"/>
        <v>14.688473390798183</v>
      </c>
      <c r="AB54" s="94">
        <f t="shared" ref="AB54" si="68">AB52*1000000/AB53</f>
        <v>15.444612173763964</v>
      </c>
    </row>
    <row r="55" spans="2:28" s="2" customFormat="1">
      <c r="B55" s="32"/>
      <c r="C55" s="32"/>
      <c r="D55" s="32"/>
      <c r="E55" s="32"/>
      <c r="F55" s="32"/>
      <c r="G55" s="32"/>
      <c r="H55" s="32"/>
      <c r="I55" s="32"/>
      <c r="L55" s="32"/>
      <c r="M55" s="32"/>
      <c r="N55" s="32"/>
      <c r="O55" s="32"/>
      <c r="P55" s="32"/>
      <c r="Q55" s="32"/>
      <c r="R55" s="32"/>
      <c r="S55" s="32"/>
      <c r="T55" s="32"/>
      <c r="U55" s="32"/>
      <c r="V55" s="32"/>
      <c r="W55" s="32"/>
      <c r="X55" s="32"/>
      <c r="Y55" s="32"/>
      <c r="Z55" s="32"/>
      <c r="AA55" s="32"/>
      <c r="AB55" s="32"/>
    </row>
    <row r="56" spans="2:28" s="2" customFormat="1">
      <c r="G56" s="73"/>
      <c r="L56" s="73"/>
      <c r="Q56" s="73"/>
      <c r="V56" s="73"/>
      <c r="Z56" s="155"/>
      <c r="AA56" s="73"/>
      <c r="AB56" s="155"/>
    </row>
    <row r="57" spans="2:28">
      <c r="B57" s="4" t="s">
        <v>30</v>
      </c>
      <c r="C57" s="7" t="s">
        <v>185</v>
      </c>
      <c r="D57" s="7" t="s">
        <v>194</v>
      </c>
      <c r="E57" s="7" t="s">
        <v>199</v>
      </c>
      <c r="F57" s="7" t="s">
        <v>201</v>
      </c>
      <c r="G57" s="7" t="s">
        <v>202</v>
      </c>
      <c r="H57" s="7" t="s">
        <v>205</v>
      </c>
      <c r="I57" s="7" t="s">
        <v>218</v>
      </c>
      <c r="J57" s="7" t="s">
        <v>221</v>
      </c>
      <c r="K57" s="7" t="s">
        <v>223</v>
      </c>
      <c r="L57" s="7" t="s">
        <v>224</v>
      </c>
      <c r="M57" s="7" t="s">
        <v>226</v>
      </c>
      <c r="N57" s="7" t="s">
        <v>228</v>
      </c>
      <c r="O57" s="7" t="s">
        <v>237</v>
      </c>
      <c r="P57" s="7" t="str">
        <f>P3</f>
        <v>Kv4 2023</v>
      </c>
      <c r="Q57" s="7" t="s">
        <v>241</v>
      </c>
      <c r="R57" s="7" t="s">
        <v>242</v>
      </c>
      <c r="S57" s="7" t="str">
        <f>+S51</f>
        <v>Kv2 2024</v>
      </c>
      <c r="T57" s="7" t="str">
        <f>+T51</f>
        <v>Kv3 2024</v>
      </c>
      <c r="U57" s="7" t="str">
        <f>U3</f>
        <v>Kv4 2024</v>
      </c>
      <c r="V57" s="7" t="s">
        <v>272</v>
      </c>
      <c r="W57" s="7" t="str">
        <f>+W$3</f>
        <v>Kv1 2025</v>
      </c>
      <c r="X57" s="7" t="str">
        <f>+X$3</f>
        <v>Kv2 2025</v>
      </c>
      <c r="Y57" s="7" t="str">
        <f>+Y$3</f>
        <v>Kv3 2025</v>
      </c>
      <c r="Z57" s="7" t="str">
        <f>Z3</f>
        <v>Kv4 2025</v>
      </c>
      <c r="AA57" s="7" t="s">
        <v>325</v>
      </c>
      <c r="AB57" s="7" t="str">
        <f>AB3</f>
        <v>Kv1 2026</v>
      </c>
    </row>
    <row r="58" spans="2:28" s="2" customFormat="1">
      <c r="B58" s="9" t="s">
        <v>99</v>
      </c>
      <c r="C58" s="48">
        <v>3775</v>
      </c>
      <c r="D58" s="48">
        <v>3567</v>
      </c>
      <c r="E58" s="48">
        <v>3653</v>
      </c>
      <c r="F58" s="48">
        <v>3299</v>
      </c>
      <c r="G58" s="20">
        <f>G14</f>
        <v>3299</v>
      </c>
      <c r="H58" s="48">
        <f>H14+F14+E14+D14</f>
        <v>3143</v>
      </c>
      <c r="I58" s="48">
        <f>I14+H14+F14+E14</f>
        <v>3077</v>
      </c>
      <c r="J58" s="48">
        <f>J14+I14+H14+F14</f>
        <v>2991</v>
      </c>
      <c r="K58" s="48">
        <f>K14+J14+I14+H14</f>
        <v>3732</v>
      </c>
      <c r="L58" s="20">
        <f>L14</f>
        <v>3732</v>
      </c>
      <c r="M58" s="48">
        <f>M14+K14+J14+I14</f>
        <v>3953</v>
      </c>
      <c r="N58" s="48">
        <f>N14+M14+K14+J14</f>
        <v>4740</v>
      </c>
      <c r="O58" s="48">
        <f>O14+N14+M14+K14</f>
        <v>5420</v>
      </c>
      <c r="P58" s="48">
        <f>P14+O14+N14+M14</f>
        <v>5063</v>
      </c>
      <c r="Q58" s="20">
        <f>Q14</f>
        <v>5063</v>
      </c>
      <c r="R58" s="48">
        <f>R14+P14+O14+N14</f>
        <v>5232</v>
      </c>
      <c r="S58" s="48">
        <f>S14+R14+P14+O14</f>
        <v>4840</v>
      </c>
      <c r="T58" s="48">
        <f>T14+S14+R14+P14</f>
        <v>4651</v>
      </c>
      <c r="U58" s="48">
        <f>U14+T14+S14+R14</f>
        <v>5011</v>
      </c>
      <c r="V58" s="20">
        <f>+U58</f>
        <v>5011</v>
      </c>
      <c r="W58" s="48">
        <f>W14+U14+T14+S14</f>
        <v>5114</v>
      </c>
      <c r="X58" s="48">
        <f>X14+W14+U14+T14</f>
        <v>4921</v>
      </c>
      <c r="Y58" s="48">
        <f>Y14+X14+W14+U14</f>
        <v>5243</v>
      </c>
      <c r="Z58" s="48">
        <f>Z14+Y14+X14+W14</f>
        <v>5288</v>
      </c>
      <c r="AA58" s="20">
        <f>+Z58</f>
        <v>5288</v>
      </c>
      <c r="AB58" s="48">
        <f>AB14+X14+Z14+Y14</f>
        <v>5404</v>
      </c>
    </row>
    <row r="59" spans="2:28" s="2" customFormat="1">
      <c r="B59" s="9" t="s">
        <v>251</v>
      </c>
      <c r="C59" s="20">
        <v>271071783</v>
      </c>
      <c r="D59" s="20">
        <v>271071783</v>
      </c>
      <c r="E59" s="20">
        <v>271071783</v>
      </c>
      <c r="F59" s="20">
        <v>271071783</v>
      </c>
      <c r="G59" s="20">
        <v>271071783</v>
      </c>
      <c r="H59" s="20">
        <v>271071253</v>
      </c>
      <c r="I59" s="20">
        <v>269985191</v>
      </c>
      <c r="J59" s="20">
        <v>267202271</v>
      </c>
      <c r="K59" s="20">
        <v>263885220</v>
      </c>
      <c r="L59" s="20">
        <v>263885220</v>
      </c>
      <c r="M59" s="20">
        <v>260044720</v>
      </c>
      <c r="N59" s="20">
        <f>N53</f>
        <v>256538341</v>
      </c>
      <c r="O59" s="20">
        <f>O53</f>
        <v>253668430</v>
      </c>
      <c r="P59" s="20">
        <f>P53</f>
        <v>250349374</v>
      </c>
      <c r="Q59" s="20">
        <f>Q53</f>
        <v>250349374</v>
      </c>
      <c r="R59" s="20">
        <f>+R53</f>
        <v>246752073</v>
      </c>
      <c r="S59" s="20">
        <f>+S53</f>
        <v>243261237</v>
      </c>
      <c r="T59" s="20">
        <f>+T53</f>
        <v>240304515</v>
      </c>
      <c r="U59" s="20">
        <f>U53</f>
        <v>237573828</v>
      </c>
      <c r="V59" s="20">
        <f>V53</f>
        <v>237573828</v>
      </c>
      <c r="W59" s="20">
        <f>+W53</f>
        <v>230773406</v>
      </c>
      <c r="X59" s="20">
        <f>+X53</f>
        <v>232435058</v>
      </c>
      <c r="Y59" s="20">
        <f>+Y53</f>
        <v>230085873</v>
      </c>
      <c r="Z59" s="20">
        <f>Z53</f>
        <v>228138072</v>
      </c>
      <c r="AA59" s="20">
        <f>AA53</f>
        <v>228138072</v>
      </c>
      <c r="AB59" s="20">
        <f>AB53</f>
        <v>224544324</v>
      </c>
    </row>
    <row r="60" spans="2:28" s="2" customFormat="1">
      <c r="B60" s="43" t="s">
        <v>30</v>
      </c>
      <c r="C60" s="45">
        <v>13.92620050018264</v>
      </c>
      <c r="D60" s="45">
        <f t="shared" ref="D60:I60" si="69">D58*1000000/D59</f>
        <v>13.158876075271914</v>
      </c>
      <c r="E60" s="45">
        <f t="shared" si="69"/>
        <v>13.476135212494619</v>
      </c>
      <c r="F60" s="45">
        <f t="shared" si="69"/>
        <v>12.170208066252325</v>
      </c>
      <c r="G60" s="45">
        <f t="shared" si="69"/>
        <v>12.170208066252325</v>
      </c>
      <c r="H60" s="45">
        <f t="shared" si="69"/>
        <v>11.594737417619124</v>
      </c>
      <c r="I60" s="45">
        <f t="shared" si="69"/>
        <v>11.396921396329475</v>
      </c>
      <c r="J60" s="45">
        <f t="shared" ref="J60:M60" si="70">J58*1000000/J59</f>
        <v>11.193767136807008</v>
      </c>
      <c r="K60" s="45">
        <f t="shared" si="70"/>
        <v>14.142512415056819</v>
      </c>
      <c r="L60" s="45">
        <f t="shared" si="70"/>
        <v>14.142512415056819</v>
      </c>
      <c r="M60" s="45">
        <f t="shared" si="70"/>
        <v>15.201231542020926</v>
      </c>
      <c r="N60" s="45">
        <f t="shared" ref="N60:O60" si="71">N58*1000000/N59</f>
        <v>18.476770300779329</v>
      </c>
      <c r="O60" s="45">
        <f t="shared" si="71"/>
        <v>21.366474338174442</v>
      </c>
      <c r="P60" s="45">
        <f t="shared" ref="P60:R60" si="72">P58*1000000/P59</f>
        <v>20.223737407867453</v>
      </c>
      <c r="Q60" s="45">
        <f t="shared" si="72"/>
        <v>20.223737407867453</v>
      </c>
      <c r="R60" s="45">
        <f t="shared" si="72"/>
        <v>21.203469281492115</v>
      </c>
      <c r="S60" s="45">
        <f t="shared" ref="S60:W60" si="73">S58*1000000/S59</f>
        <v>19.896305961808459</v>
      </c>
      <c r="T60" s="45">
        <f t="shared" si="73"/>
        <v>19.354609296458705</v>
      </c>
      <c r="U60" s="45">
        <f t="shared" si="73"/>
        <v>21.092390698860989</v>
      </c>
      <c r="V60" s="45">
        <f t="shared" si="73"/>
        <v>21.092390698860989</v>
      </c>
      <c r="W60" s="45">
        <f t="shared" si="73"/>
        <v>22.160265728365598</v>
      </c>
      <c r="X60" s="45">
        <f t="shared" ref="X60:AA60" si="74">X58*1000000/X59</f>
        <v>21.171505031740953</v>
      </c>
      <c r="Y60" s="45">
        <f t="shared" si="74"/>
        <v>22.787144345885157</v>
      </c>
      <c r="Z60" s="45">
        <f t="shared" si="74"/>
        <v>23.178945774557086</v>
      </c>
      <c r="AA60" s="45">
        <f t="shared" si="74"/>
        <v>23.178945774557086</v>
      </c>
      <c r="AB60" s="45">
        <f t="shared" ref="AB60" si="75">AB58*1000000/AB59</f>
        <v>24.066517931666802</v>
      </c>
    </row>
    <row r="61" spans="2:28" s="2" customFormat="1">
      <c r="Z61" s="155"/>
      <c r="AA61" s="155"/>
      <c r="AB61" s="155"/>
    </row>
    <row r="62" spans="2:28" s="2" customFormat="1">
      <c r="Z62" s="155"/>
      <c r="AA62" s="155"/>
      <c r="AB62" s="155"/>
    </row>
    <row r="63" spans="2:28" s="2" customFormat="1">
      <c r="Z63" s="155"/>
      <c r="AA63" s="155"/>
      <c r="AB63" s="155"/>
    </row>
    <row r="64" spans="2:28" s="2" customFormat="1">
      <c r="Z64" s="155"/>
      <c r="AA64" s="155"/>
      <c r="AB64" s="155"/>
    </row>
    <row r="65" spans="8:28" s="2" customFormat="1">
      <c r="H65" s="61"/>
      <c r="M65" s="61"/>
      <c r="N65" s="61"/>
      <c r="O65" s="61"/>
      <c r="P65" s="155"/>
      <c r="R65" s="61"/>
      <c r="U65" s="61"/>
      <c r="W65" s="61"/>
      <c r="X65" s="61"/>
      <c r="Y65" s="61"/>
      <c r="Z65" s="61"/>
      <c r="AA65" s="155"/>
      <c r="AB65" s="61"/>
    </row>
    <row r="66" spans="8:28" s="2" customFormat="1">
      <c r="Z66" s="155"/>
      <c r="AA66" s="155"/>
      <c r="AB66" s="155"/>
    </row>
    <row r="67" spans="8:28" s="2" customFormat="1">
      <c r="Z67" s="155"/>
      <c r="AA67" s="155"/>
      <c r="AB67" s="155"/>
    </row>
    <row r="68" spans="8:28" s="2" customFormat="1">
      <c r="Z68" s="155"/>
      <c r="AA68" s="155"/>
      <c r="AB68" s="155"/>
    </row>
    <row r="69" spans="8:28" s="2" customFormat="1">
      <c r="Z69" s="155"/>
      <c r="AA69" s="155"/>
      <c r="AB69" s="155"/>
    </row>
    <row r="70" spans="8:28" s="2" customFormat="1">
      <c r="Z70" s="155"/>
      <c r="AA70" s="155"/>
      <c r="AB70" s="155"/>
    </row>
    <row r="71" spans="8:28" s="2" customFormat="1">
      <c r="Z71" s="155"/>
      <c r="AA71" s="155"/>
      <c r="AB71" s="155"/>
    </row>
    <row r="72" spans="8:28" s="2" customFormat="1">
      <c r="Z72" s="155"/>
      <c r="AA72" s="155"/>
      <c r="AB72" s="155"/>
    </row>
    <row r="73" spans="8:28" s="2" customFormat="1">
      <c r="Z73" s="155"/>
      <c r="AA73" s="155"/>
      <c r="AB73" s="155"/>
    </row>
    <row r="74" spans="8:28" s="2" customFormat="1">
      <c r="Z74" s="155"/>
      <c r="AA74" s="155"/>
      <c r="AB74" s="155"/>
    </row>
    <row r="75" spans="8:28" s="2" customFormat="1">
      <c r="Z75" s="155"/>
      <c r="AA75" s="155"/>
      <c r="AB75" s="155"/>
    </row>
    <row r="76" spans="8:28" s="2" customFormat="1">
      <c r="Z76" s="155"/>
      <c r="AA76" s="155"/>
      <c r="AB76" s="155"/>
    </row>
    <row r="77" spans="8:28" s="2" customFormat="1">
      <c r="Z77" s="155"/>
      <c r="AA77" s="155"/>
      <c r="AB77" s="155"/>
    </row>
    <row r="78" spans="8:28" s="2" customFormat="1">
      <c r="Z78" s="155"/>
      <c r="AA78" s="155"/>
      <c r="AB78" s="155"/>
    </row>
    <row r="79" spans="8:28" s="2" customFormat="1">
      <c r="Z79" s="155"/>
      <c r="AA79" s="155"/>
      <c r="AB79" s="155"/>
    </row>
    <row r="80" spans="8:28" s="2" customFormat="1">
      <c r="Z80" s="155"/>
      <c r="AA80" s="155"/>
      <c r="AB80" s="155"/>
    </row>
    <row r="81" spans="26:28" s="2" customFormat="1">
      <c r="Z81" s="155"/>
      <c r="AA81" s="155"/>
      <c r="AB81" s="155"/>
    </row>
    <row r="82" spans="26:28" s="2" customFormat="1">
      <c r="Z82" s="155"/>
      <c r="AA82" s="155"/>
      <c r="AB82" s="155"/>
    </row>
    <row r="83" spans="26:28" s="2" customFormat="1">
      <c r="Z83" s="155"/>
      <c r="AA83" s="155"/>
      <c r="AB83" s="155"/>
    </row>
    <row r="84" spans="26:28" s="2" customFormat="1">
      <c r="Z84" s="155"/>
      <c r="AA84" s="155"/>
      <c r="AB84" s="155"/>
    </row>
    <row r="85" spans="26:28" s="2" customFormat="1">
      <c r="Z85" s="155"/>
      <c r="AA85" s="155"/>
      <c r="AB85" s="155"/>
    </row>
    <row r="86" spans="26:28" s="2" customFormat="1">
      <c r="Z86" s="155"/>
      <c r="AA86" s="155"/>
      <c r="AB86" s="155"/>
    </row>
    <row r="87" spans="26:28" s="2" customFormat="1">
      <c r="Z87" s="155"/>
      <c r="AA87" s="155"/>
      <c r="AB87" s="155"/>
    </row>
    <row r="88" spans="26:28" s="2" customFormat="1">
      <c r="Z88" s="155"/>
      <c r="AA88" s="155"/>
      <c r="AB88" s="155"/>
    </row>
    <row r="89" spans="26:28" s="2" customFormat="1">
      <c r="Z89" s="155"/>
      <c r="AA89" s="155"/>
      <c r="AB89" s="155"/>
    </row>
    <row r="90" spans="26:28" s="2" customFormat="1">
      <c r="Z90" s="155"/>
      <c r="AA90" s="155"/>
      <c r="AB90" s="155"/>
    </row>
    <row r="91" spans="26:28" s="2" customFormat="1">
      <c r="Z91" s="155"/>
      <c r="AA91" s="155"/>
      <c r="AB91" s="155"/>
    </row>
    <row r="92" spans="26:28" s="2" customFormat="1">
      <c r="Z92" s="155"/>
      <c r="AA92" s="155"/>
      <c r="AB92" s="155"/>
    </row>
    <row r="93" spans="26:28" s="2" customFormat="1">
      <c r="Z93" s="155"/>
      <c r="AA93" s="155"/>
      <c r="AB93" s="155"/>
    </row>
    <row r="94" spans="26:28" s="2" customFormat="1">
      <c r="Z94" s="155"/>
      <c r="AA94" s="155"/>
      <c r="AB94" s="155"/>
    </row>
    <row r="95" spans="26:28" s="2" customFormat="1">
      <c r="Z95" s="155"/>
      <c r="AA95" s="155"/>
      <c r="AB95" s="155"/>
    </row>
    <row r="96" spans="26:28" s="2" customFormat="1">
      <c r="Z96" s="155"/>
      <c r="AA96" s="155"/>
      <c r="AB96" s="155"/>
    </row>
    <row r="97" spans="26:28" s="2" customFormat="1">
      <c r="Z97" s="155"/>
      <c r="AA97" s="155"/>
      <c r="AB97" s="155"/>
    </row>
    <row r="98" spans="26:28" s="2" customFormat="1">
      <c r="Z98" s="155"/>
      <c r="AA98" s="155"/>
      <c r="AB98" s="155"/>
    </row>
    <row r="99" spans="26:28" s="2" customFormat="1">
      <c r="Z99" s="155"/>
      <c r="AA99" s="155"/>
      <c r="AB99" s="155"/>
    </row>
    <row r="100" spans="26:28" s="2" customFormat="1">
      <c r="Z100" s="155"/>
      <c r="AA100" s="155"/>
      <c r="AB100" s="155"/>
    </row>
    <row r="101" spans="26:28" s="2" customFormat="1">
      <c r="Z101" s="155"/>
      <c r="AA101" s="155"/>
      <c r="AB101" s="155"/>
    </row>
    <row r="102" spans="26:28" s="2" customFormat="1">
      <c r="Z102" s="155"/>
      <c r="AA102" s="155"/>
      <c r="AB102" s="155"/>
    </row>
    <row r="103" spans="26:28" s="2" customFormat="1">
      <c r="Z103" s="155"/>
      <c r="AA103" s="155"/>
      <c r="AB103" s="155"/>
    </row>
    <row r="104" spans="26:28" s="2" customFormat="1">
      <c r="Z104" s="155"/>
      <c r="AA104" s="155"/>
      <c r="AB104" s="155"/>
    </row>
    <row r="105" spans="26:28" s="2" customFormat="1">
      <c r="Z105" s="155"/>
      <c r="AA105" s="155"/>
      <c r="AB105" s="155"/>
    </row>
    <row r="106" spans="26:28" s="2" customFormat="1">
      <c r="Z106" s="155"/>
      <c r="AA106" s="155"/>
      <c r="AB106" s="155"/>
    </row>
    <row r="107" spans="26:28" s="2" customFormat="1">
      <c r="Z107" s="155"/>
      <c r="AA107" s="155"/>
      <c r="AB107" s="155"/>
    </row>
    <row r="108" spans="26:28" s="2" customFormat="1">
      <c r="Z108" s="155"/>
      <c r="AA108" s="155"/>
      <c r="AB108" s="155"/>
    </row>
    <row r="109" spans="26:28" s="2" customFormat="1">
      <c r="Z109" s="155"/>
      <c r="AA109" s="155"/>
      <c r="AB109" s="155"/>
    </row>
    <row r="110" spans="26:28" s="2" customFormat="1">
      <c r="Z110" s="155"/>
      <c r="AA110" s="155"/>
      <c r="AB110" s="155"/>
    </row>
    <row r="111" spans="26:28" s="2" customFormat="1">
      <c r="Z111" s="155"/>
      <c r="AA111" s="155"/>
      <c r="AB111" s="155"/>
    </row>
    <row r="112" spans="26:28" s="2" customFormat="1">
      <c r="Z112" s="155"/>
      <c r="AA112" s="155"/>
      <c r="AB112" s="155"/>
    </row>
    <row r="113" spans="26:28" s="2" customFormat="1">
      <c r="Z113" s="155"/>
      <c r="AA113" s="155"/>
      <c r="AB113" s="155"/>
    </row>
    <row r="114" spans="26:28" s="2" customFormat="1">
      <c r="Z114" s="155"/>
      <c r="AA114" s="155"/>
      <c r="AB114" s="155"/>
    </row>
    <row r="115" spans="26:28" s="2" customFormat="1">
      <c r="Z115" s="155"/>
      <c r="AA115" s="155"/>
      <c r="AB115" s="155"/>
    </row>
    <row r="116" spans="26:28" s="2" customFormat="1">
      <c r="Z116" s="155"/>
      <c r="AA116" s="155"/>
      <c r="AB116" s="155"/>
    </row>
    <row r="117" spans="26:28" s="2" customFormat="1">
      <c r="Z117" s="155"/>
      <c r="AA117" s="155"/>
      <c r="AB117" s="155"/>
    </row>
    <row r="118" spans="26:28" s="2" customFormat="1">
      <c r="Z118" s="155"/>
      <c r="AA118" s="155"/>
      <c r="AB118" s="155"/>
    </row>
    <row r="119" spans="26:28" s="2" customFormat="1">
      <c r="Z119" s="155"/>
      <c r="AA119" s="155"/>
      <c r="AB119" s="155"/>
    </row>
    <row r="120" spans="26:28" s="2" customFormat="1">
      <c r="Z120" s="155"/>
      <c r="AA120" s="155"/>
      <c r="AB120" s="155"/>
    </row>
    <row r="121" spans="26:28" s="2" customFormat="1">
      <c r="Z121" s="155"/>
      <c r="AA121" s="155"/>
      <c r="AB121" s="155"/>
    </row>
    <row r="122" spans="26:28" s="2" customFormat="1">
      <c r="Z122" s="155"/>
      <c r="AA122" s="155"/>
      <c r="AB122" s="155"/>
    </row>
    <row r="123" spans="26:28" s="2" customFormat="1">
      <c r="Z123" s="155"/>
      <c r="AA123" s="155"/>
      <c r="AB123" s="155"/>
    </row>
    <row r="124" spans="26:28" s="2" customFormat="1">
      <c r="Z124" s="155"/>
      <c r="AA124" s="155"/>
      <c r="AB124" s="155"/>
    </row>
    <row r="125" spans="26:28" s="2" customFormat="1">
      <c r="Z125" s="155"/>
      <c r="AA125" s="155"/>
      <c r="AB125" s="155"/>
    </row>
    <row r="126" spans="26:28" s="2" customFormat="1">
      <c r="Z126" s="155"/>
      <c r="AA126" s="155"/>
      <c r="AB126" s="155"/>
    </row>
    <row r="127" spans="26:28" s="2" customFormat="1">
      <c r="Z127" s="155"/>
      <c r="AA127" s="155"/>
      <c r="AB127" s="155"/>
    </row>
    <row r="128" spans="26:28" s="2" customFormat="1">
      <c r="Z128" s="155"/>
      <c r="AA128" s="155"/>
      <c r="AB128" s="155"/>
    </row>
    <row r="129" spans="26:28" s="2" customFormat="1">
      <c r="Z129" s="155"/>
      <c r="AA129" s="155"/>
      <c r="AB129" s="155"/>
    </row>
    <row r="130" spans="26:28" s="2" customFormat="1">
      <c r="Z130" s="155"/>
      <c r="AA130" s="155"/>
      <c r="AB130" s="155"/>
    </row>
    <row r="131" spans="26:28" s="2" customFormat="1">
      <c r="Z131" s="155"/>
      <c r="AA131" s="155"/>
      <c r="AB131" s="155"/>
    </row>
    <row r="132" spans="26:28" s="2" customFormat="1">
      <c r="Z132" s="155"/>
      <c r="AA132" s="155"/>
      <c r="AB132" s="155"/>
    </row>
    <row r="133" spans="26:28" s="2" customFormat="1">
      <c r="Z133" s="155"/>
      <c r="AA133" s="155"/>
      <c r="AB133" s="155"/>
    </row>
    <row r="134" spans="26:28" s="2" customFormat="1">
      <c r="Z134" s="155"/>
      <c r="AA134" s="155"/>
      <c r="AB134" s="155"/>
    </row>
    <row r="135" spans="26:28" s="2" customFormat="1">
      <c r="Z135" s="155"/>
      <c r="AA135" s="155"/>
      <c r="AB135" s="155"/>
    </row>
    <row r="136" spans="26:28" s="2" customFormat="1">
      <c r="Z136" s="155"/>
      <c r="AA136" s="155"/>
      <c r="AB136" s="155"/>
    </row>
    <row r="137" spans="26:28" s="2" customFormat="1">
      <c r="Z137" s="155"/>
      <c r="AA137" s="155"/>
      <c r="AB137" s="155"/>
    </row>
    <row r="138" spans="26:28" s="2" customFormat="1">
      <c r="Z138" s="155"/>
      <c r="AA138" s="155"/>
      <c r="AB138" s="155"/>
    </row>
    <row r="139" spans="26:28" s="2" customFormat="1">
      <c r="Z139" s="155"/>
      <c r="AA139" s="155"/>
      <c r="AB139" s="155"/>
    </row>
    <row r="140" spans="26:28" s="2" customFormat="1">
      <c r="Z140" s="155"/>
      <c r="AA140" s="155"/>
      <c r="AB140" s="155"/>
    </row>
    <row r="141" spans="26:28" s="2" customFormat="1">
      <c r="Z141" s="155"/>
      <c r="AA141" s="155"/>
      <c r="AB141" s="155"/>
    </row>
    <row r="142" spans="26:28" s="2" customFormat="1">
      <c r="Z142" s="155"/>
      <c r="AA142" s="155"/>
      <c r="AB142" s="155"/>
    </row>
    <row r="143" spans="26:28" s="2" customFormat="1">
      <c r="Z143" s="155"/>
      <c r="AA143" s="155"/>
      <c r="AB143" s="155"/>
    </row>
    <row r="144" spans="26:28" s="2" customFormat="1">
      <c r="Z144" s="155"/>
      <c r="AA144" s="155"/>
      <c r="AB144" s="155"/>
    </row>
    <row r="145" spans="26:28" s="2" customFormat="1">
      <c r="Z145" s="155"/>
      <c r="AA145" s="155"/>
      <c r="AB145" s="155"/>
    </row>
    <row r="146" spans="26:28" s="2" customFormat="1">
      <c r="Z146" s="155"/>
      <c r="AA146" s="155"/>
      <c r="AB146" s="155"/>
    </row>
    <row r="147" spans="26:28" s="2" customFormat="1">
      <c r="Z147" s="155"/>
      <c r="AA147" s="155"/>
      <c r="AB147" s="155"/>
    </row>
    <row r="148" spans="26:28" s="2" customFormat="1">
      <c r="Z148" s="155"/>
      <c r="AA148" s="155"/>
      <c r="AB148" s="155"/>
    </row>
    <row r="149" spans="26:28" s="2" customFormat="1">
      <c r="Z149" s="155"/>
      <c r="AA149" s="155"/>
      <c r="AB149" s="155"/>
    </row>
    <row r="150" spans="26:28" s="2" customFormat="1">
      <c r="Z150" s="155"/>
      <c r="AA150" s="155"/>
      <c r="AB150" s="155"/>
    </row>
    <row r="151" spans="26:28" s="2" customFormat="1">
      <c r="Z151" s="155"/>
      <c r="AA151" s="155"/>
      <c r="AB151" s="155"/>
    </row>
    <row r="152" spans="26:28" s="2" customFormat="1">
      <c r="Z152" s="155"/>
      <c r="AA152" s="155"/>
      <c r="AB152" s="155"/>
    </row>
    <row r="153" spans="26:28" s="2" customFormat="1">
      <c r="Z153" s="155"/>
      <c r="AA153" s="155"/>
      <c r="AB153" s="155"/>
    </row>
    <row r="154" spans="26:28" s="2" customFormat="1">
      <c r="Z154" s="155"/>
      <c r="AA154" s="155"/>
      <c r="AB154" s="155"/>
    </row>
    <row r="155" spans="26:28" s="2" customFormat="1">
      <c r="Z155" s="155"/>
      <c r="AA155" s="155"/>
      <c r="AB155" s="155"/>
    </row>
    <row r="156" spans="26:28" s="2" customFormat="1">
      <c r="Z156" s="155"/>
      <c r="AA156" s="155"/>
      <c r="AB156" s="155"/>
    </row>
    <row r="157" spans="26:28" s="2" customFormat="1">
      <c r="Z157" s="155"/>
      <c r="AA157" s="155"/>
      <c r="AB157" s="155"/>
    </row>
    <row r="158" spans="26:28" s="2" customFormat="1">
      <c r="Z158" s="155"/>
      <c r="AA158" s="155"/>
      <c r="AB158" s="155"/>
    </row>
    <row r="159" spans="26:28" s="2" customFormat="1">
      <c r="Z159" s="155"/>
      <c r="AA159" s="155"/>
      <c r="AB159" s="155"/>
    </row>
    <row r="160" spans="26:28" s="2" customFormat="1">
      <c r="Z160" s="155"/>
      <c r="AA160" s="155"/>
      <c r="AB160" s="155"/>
    </row>
    <row r="161" spans="26:28" s="2" customFormat="1">
      <c r="Z161" s="155"/>
      <c r="AA161" s="155"/>
      <c r="AB161" s="155"/>
    </row>
    <row r="162" spans="26:28" s="2" customFormat="1">
      <c r="Z162" s="155"/>
      <c r="AA162" s="155"/>
      <c r="AB162" s="155"/>
    </row>
    <row r="163" spans="26:28" s="2" customFormat="1">
      <c r="Z163" s="155"/>
      <c r="AA163" s="155"/>
      <c r="AB163" s="155"/>
    </row>
    <row r="164" spans="26:28" s="2" customFormat="1">
      <c r="Z164" s="155"/>
      <c r="AA164" s="155"/>
      <c r="AB164" s="155"/>
    </row>
    <row r="165" spans="26:28" s="2" customFormat="1">
      <c r="Z165" s="155"/>
      <c r="AA165" s="155"/>
      <c r="AB165" s="155"/>
    </row>
    <row r="166" spans="26:28" s="2" customFormat="1">
      <c r="Z166" s="155"/>
      <c r="AA166" s="155"/>
      <c r="AB166" s="155"/>
    </row>
    <row r="167" spans="26:28" s="2" customFormat="1">
      <c r="Z167" s="155"/>
      <c r="AA167" s="155"/>
      <c r="AB167" s="155"/>
    </row>
    <row r="168" spans="26:28" s="2" customFormat="1">
      <c r="Z168" s="155"/>
      <c r="AA168" s="155"/>
      <c r="AB168" s="155"/>
    </row>
    <row r="169" spans="26:28" s="2" customFormat="1">
      <c r="Z169" s="155"/>
      <c r="AA169" s="155"/>
      <c r="AB169" s="155"/>
    </row>
    <row r="170" spans="26:28" s="2" customFormat="1">
      <c r="Z170" s="155"/>
      <c r="AA170" s="155"/>
      <c r="AB170" s="155"/>
    </row>
    <row r="171" spans="26:28" s="2" customFormat="1">
      <c r="Z171" s="155"/>
      <c r="AA171" s="155"/>
      <c r="AB171" s="155"/>
    </row>
    <row r="172" spans="26:28" s="2" customFormat="1">
      <c r="Z172" s="155"/>
      <c r="AA172" s="155"/>
      <c r="AB172" s="155"/>
    </row>
    <row r="173" spans="26:28" s="2" customFormat="1">
      <c r="Z173" s="155"/>
      <c r="AA173" s="155"/>
      <c r="AB173" s="155"/>
    </row>
    <row r="174" spans="26:28" s="2" customFormat="1">
      <c r="Z174" s="155"/>
      <c r="AA174" s="155"/>
      <c r="AB174" s="155"/>
    </row>
    <row r="175" spans="26:28" s="2" customFormat="1">
      <c r="Z175" s="155"/>
      <c r="AA175" s="155"/>
      <c r="AB175" s="155"/>
    </row>
    <row r="176" spans="26:28" s="2" customFormat="1">
      <c r="Z176" s="155"/>
      <c r="AA176" s="155"/>
      <c r="AB176" s="155"/>
    </row>
    <row r="177" spans="26:28" s="2" customFormat="1">
      <c r="Z177" s="155"/>
      <c r="AA177" s="155"/>
      <c r="AB177" s="155"/>
    </row>
    <row r="178" spans="26:28" s="2" customFormat="1">
      <c r="Z178" s="155"/>
      <c r="AA178" s="155"/>
      <c r="AB178" s="155"/>
    </row>
    <row r="179" spans="26:28" s="2" customFormat="1">
      <c r="Z179" s="155"/>
      <c r="AA179" s="155"/>
      <c r="AB179" s="155"/>
    </row>
    <row r="180" spans="26:28" s="2" customFormat="1">
      <c r="Z180" s="155"/>
      <c r="AA180" s="155"/>
      <c r="AB180" s="155"/>
    </row>
    <row r="181" spans="26:28" s="2" customFormat="1">
      <c r="Z181" s="155"/>
      <c r="AA181" s="155"/>
      <c r="AB181" s="155"/>
    </row>
    <row r="182" spans="26:28" s="2" customFormat="1">
      <c r="Z182" s="155"/>
      <c r="AA182" s="155"/>
      <c r="AB182" s="155"/>
    </row>
    <row r="183" spans="26:28" s="2" customFormat="1">
      <c r="Z183" s="155"/>
      <c r="AA183" s="155"/>
      <c r="AB183" s="155"/>
    </row>
    <row r="184" spans="26:28" s="2" customFormat="1">
      <c r="Z184" s="155"/>
      <c r="AA184" s="155"/>
      <c r="AB184" s="155"/>
    </row>
    <row r="185" spans="26:28" s="2" customFormat="1">
      <c r="Z185" s="155"/>
      <c r="AA185" s="155"/>
      <c r="AB185" s="155"/>
    </row>
    <row r="186" spans="26:28" s="2" customFormat="1">
      <c r="Z186" s="155"/>
      <c r="AA186" s="155"/>
      <c r="AB186" s="155"/>
    </row>
    <row r="187" spans="26:28" s="2" customFormat="1">
      <c r="Z187" s="155"/>
      <c r="AA187" s="155"/>
      <c r="AB187" s="155"/>
    </row>
    <row r="188" spans="26:28" s="2" customFormat="1">
      <c r="Z188" s="155"/>
      <c r="AA188" s="155"/>
      <c r="AB188" s="155"/>
    </row>
    <row r="189" spans="26:28" s="2" customFormat="1">
      <c r="Z189" s="155"/>
      <c r="AA189" s="155"/>
      <c r="AB189" s="155"/>
    </row>
    <row r="190" spans="26:28" s="2" customFormat="1">
      <c r="Z190" s="155"/>
      <c r="AA190" s="155"/>
      <c r="AB190" s="155"/>
    </row>
    <row r="191" spans="26:28" s="2" customFormat="1">
      <c r="Z191" s="155"/>
      <c r="AA191" s="155"/>
      <c r="AB191" s="155"/>
    </row>
    <row r="192" spans="26:28" s="2" customFormat="1">
      <c r="Z192" s="155"/>
      <c r="AA192" s="155"/>
      <c r="AB192" s="155"/>
    </row>
    <row r="193" spans="26:28" s="2" customFormat="1">
      <c r="Z193" s="155"/>
      <c r="AA193" s="155"/>
      <c r="AB193" s="155"/>
    </row>
    <row r="194" spans="26:28" s="2" customFormat="1">
      <c r="Z194" s="155"/>
      <c r="AA194" s="155"/>
      <c r="AB194" s="155"/>
    </row>
    <row r="195" spans="26:28" s="2" customFormat="1">
      <c r="Z195" s="155"/>
      <c r="AA195" s="155"/>
      <c r="AB195" s="155"/>
    </row>
    <row r="196" spans="26:28" s="2" customFormat="1">
      <c r="Z196" s="155"/>
      <c r="AA196" s="155"/>
      <c r="AB196" s="155"/>
    </row>
    <row r="197" spans="26:28" s="2" customFormat="1">
      <c r="Z197" s="155"/>
      <c r="AA197" s="155"/>
      <c r="AB197" s="155"/>
    </row>
    <row r="198" spans="26:28" s="2" customFormat="1">
      <c r="Z198" s="155"/>
      <c r="AA198" s="155"/>
      <c r="AB198" s="155"/>
    </row>
    <row r="199" spans="26:28" s="2" customFormat="1">
      <c r="Z199" s="155"/>
      <c r="AA199" s="155"/>
      <c r="AB199" s="155"/>
    </row>
    <row r="200" spans="26:28" s="2" customFormat="1">
      <c r="Z200" s="155"/>
      <c r="AA200" s="155"/>
      <c r="AB200" s="155"/>
    </row>
    <row r="201" spans="26:28" s="2" customFormat="1">
      <c r="Z201" s="155"/>
      <c r="AA201" s="155"/>
      <c r="AB201" s="155"/>
    </row>
    <row r="202" spans="26:28" s="2" customFormat="1">
      <c r="Z202" s="155"/>
      <c r="AA202" s="155"/>
      <c r="AB202" s="155"/>
    </row>
    <row r="203" spans="26:28" s="2" customFormat="1">
      <c r="Z203" s="155"/>
      <c r="AA203" s="155"/>
      <c r="AB203" s="155"/>
    </row>
    <row r="204" spans="26:28" s="2" customFormat="1">
      <c r="Z204" s="155"/>
      <c r="AA204" s="155"/>
      <c r="AB204" s="155"/>
    </row>
    <row r="205" spans="26:28" s="2" customFormat="1">
      <c r="Z205" s="155"/>
      <c r="AA205" s="155"/>
      <c r="AB205" s="155"/>
    </row>
    <row r="206" spans="26:28" s="2" customFormat="1">
      <c r="Z206" s="155"/>
      <c r="AA206" s="155"/>
      <c r="AB206" s="155"/>
    </row>
    <row r="207" spans="26:28" s="2" customFormat="1">
      <c r="Z207" s="155"/>
      <c r="AA207" s="155"/>
      <c r="AB207" s="155"/>
    </row>
    <row r="208" spans="26:28" s="2" customFormat="1">
      <c r="Z208" s="155"/>
      <c r="AA208" s="155"/>
      <c r="AB208" s="155"/>
    </row>
    <row r="209" spans="26:28" s="2" customFormat="1">
      <c r="Z209" s="155"/>
      <c r="AA209" s="155"/>
      <c r="AB209" s="155"/>
    </row>
    <row r="210" spans="26:28" s="2" customFormat="1">
      <c r="Z210" s="155"/>
      <c r="AA210" s="155"/>
      <c r="AB210" s="155"/>
    </row>
    <row r="211" spans="26:28" s="2" customFormat="1">
      <c r="Z211" s="155"/>
      <c r="AA211" s="155"/>
      <c r="AB211" s="155"/>
    </row>
    <row r="212" spans="26:28" s="2" customFormat="1">
      <c r="Z212" s="155"/>
      <c r="AA212" s="155"/>
      <c r="AB212" s="155"/>
    </row>
    <row r="213" spans="26:28" s="2" customFormat="1">
      <c r="Z213" s="155"/>
      <c r="AA213" s="155"/>
      <c r="AB213" s="155"/>
    </row>
    <row r="214" spans="26:28" s="2" customFormat="1">
      <c r="Z214" s="155"/>
      <c r="AA214" s="155"/>
      <c r="AB214" s="155"/>
    </row>
    <row r="215" spans="26:28" s="2" customFormat="1">
      <c r="Z215" s="155"/>
      <c r="AA215" s="155"/>
      <c r="AB215" s="155"/>
    </row>
    <row r="216" spans="26:28" s="2" customFormat="1">
      <c r="Z216" s="155"/>
      <c r="AA216" s="155"/>
      <c r="AB216" s="155"/>
    </row>
    <row r="217" spans="26:28" s="2" customFormat="1">
      <c r="Z217" s="155"/>
      <c r="AA217" s="155"/>
      <c r="AB217" s="155"/>
    </row>
    <row r="218" spans="26:28" s="2" customFormat="1">
      <c r="Z218" s="155"/>
      <c r="AA218" s="155"/>
      <c r="AB218" s="155"/>
    </row>
    <row r="219" spans="26:28" s="2" customFormat="1">
      <c r="Z219" s="155"/>
      <c r="AA219" s="155"/>
      <c r="AB219" s="155"/>
    </row>
    <row r="220" spans="26:28" s="2" customFormat="1">
      <c r="Z220" s="155"/>
      <c r="AA220" s="155"/>
      <c r="AB220" s="155"/>
    </row>
    <row r="221" spans="26:28" s="2" customFormat="1">
      <c r="Z221" s="155"/>
      <c r="AA221" s="155"/>
      <c r="AB221" s="155"/>
    </row>
    <row r="222" spans="26:28" s="2" customFormat="1">
      <c r="Z222" s="155"/>
      <c r="AA222" s="155"/>
      <c r="AB222" s="155"/>
    </row>
    <row r="223" spans="26:28" s="2" customFormat="1">
      <c r="Z223" s="155"/>
      <c r="AA223" s="155"/>
      <c r="AB223" s="155"/>
    </row>
    <row r="224" spans="26:28" s="2" customFormat="1">
      <c r="Z224" s="155"/>
      <c r="AA224" s="155"/>
      <c r="AB224" s="155"/>
    </row>
    <row r="225" spans="26:28" s="2" customFormat="1">
      <c r="Z225" s="155"/>
      <c r="AA225" s="155"/>
      <c r="AB225" s="155"/>
    </row>
    <row r="226" spans="26:28" s="2" customFormat="1">
      <c r="Z226" s="155"/>
      <c r="AA226" s="155"/>
      <c r="AB226" s="155"/>
    </row>
    <row r="227" spans="26:28" s="2" customFormat="1">
      <c r="Z227" s="155"/>
      <c r="AA227" s="155"/>
      <c r="AB227" s="155"/>
    </row>
    <row r="228" spans="26:28" s="2" customFormat="1">
      <c r="Z228" s="155"/>
      <c r="AA228" s="155"/>
      <c r="AB228" s="155"/>
    </row>
    <row r="229" spans="26:28" s="2" customFormat="1">
      <c r="Z229" s="155"/>
      <c r="AA229" s="155"/>
      <c r="AB229" s="155"/>
    </row>
    <row r="230" spans="26:28" s="2" customFormat="1">
      <c r="Z230" s="155"/>
      <c r="AA230" s="155"/>
      <c r="AB230" s="155"/>
    </row>
    <row r="231" spans="26:28" s="2" customFormat="1">
      <c r="Z231" s="155"/>
      <c r="AA231" s="155"/>
      <c r="AB231" s="155"/>
    </row>
    <row r="232" spans="26:28" s="2" customFormat="1">
      <c r="Z232" s="155"/>
      <c r="AA232" s="155"/>
      <c r="AB232" s="155"/>
    </row>
    <row r="233" spans="26:28" s="2" customFormat="1">
      <c r="Z233" s="155"/>
      <c r="AA233" s="155"/>
      <c r="AB233" s="155"/>
    </row>
    <row r="234" spans="26:28" s="2" customFormat="1">
      <c r="Z234" s="155"/>
      <c r="AA234" s="155"/>
      <c r="AB234" s="155"/>
    </row>
    <row r="235" spans="26:28" s="2" customFormat="1">
      <c r="Z235" s="155"/>
      <c r="AA235" s="155"/>
      <c r="AB235" s="155"/>
    </row>
    <row r="236" spans="26:28" s="2" customFormat="1">
      <c r="Z236" s="155"/>
      <c r="AA236" s="155"/>
      <c r="AB236" s="155"/>
    </row>
    <row r="237" spans="26:28" s="2" customFormat="1">
      <c r="Z237" s="155"/>
      <c r="AA237" s="155"/>
      <c r="AB237" s="155"/>
    </row>
    <row r="238" spans="26:28" s="2" customFormat="1">
      <c r="Z238" s="155"/>
      <c r="AA238" s="155"/>
      <c r="AB238" s="155"/>
    </row>
    <row r="239" spans="26:28" s="2" customFormat="1">
      <c r="Z239" s="155"/>
      <c r="AA239" s="155"/>
      <c r="AB239" s="155"/>
    </row>
    <row r="240" spans="26:28" s="2" customFormat="1">
      <c r="Z240" s="155"/>
      <c r="AA240" s="155"/>
      <c r="AB240" s="155"/>
    </row>
    <row r="241" spans="26:28" s="2" customFormat="1">
      <c r="Z241" s="155"/>
      <c r="AA241" s="155"/>
      <c r="AB241" s="155"/>
    </row>
    <row r="242" spans="26:28" s="2" customFormat="1">
      <c r="Z242" s="155"/>
      <c r="AA242" s="155"/>
      <c r="AB242" s="155"/>
    </row>
    <row r="243" spans="26:28" s="2" customFormat="1">
      <c r="Z243" s="155"/>
      <c r="AA243" s="155"/>
      <c r="AB243" s="155"/>
    </row>
    <row r="244" spans="26:28" s="2" customFormat="1">
      <c r="Z244" s="155"/>
      <c r="AA244" s="155"/>
      <c r="AB244" s="155"/>
    </row>
    <row r="245" spans="26:28" s="2" customFormat="1">
      <c r="Z245" s="155"/>
      <c r="AA245" s="155"/>
      <c r="AB245" s="155"/>
    </row>
    <row r="246" spans="26:28" s="2" customFormat="1">
      <c r="Z246" s="155"/>
      <c r="AA246" s="155"/>
      <c r="AB246" s="155"/>
    </row>
    <row r="247" spans="26:28" s="2" customFormat="1">
      <c r="Z247" s="155"/>
      <c r="AA247" s="155"/>
      <c r="AB247" s="155"/>
    </row>
    <row r="248" spans="26:28" s="2" customFormat="1">
      <c r="Z248" s="155"/>
      <c r="AA248" s="155"/>
      <c r="AB248" s="155"/>
    </row>
    <row r="249" spans="26:28" s="2" customFormat="1">
      <c r="Z249" s="155"/>
      <c r="AA249" s="155"/>
      <c r="AB249" s="155"/>
    </row>
    <row r="250" spans="26:28" s="2" customFormat="1">
      <c r="Z250" s="155"/>
      <c r="AA250" s="155"/>
      <c r="AB250" s="155"/>
    </row>
    <row r="251" spans="26:28" s="2" customFormat="1">
      <c r="Z251" s="155"/>
      <c r="AA251" s="155"/>
      <c r="AB251" s="155"/>
    </row>
    <row r="252" spans="26:28" s="2" customFormat="1">
      <c r="Z252" s="155"/>
      <c r="AA252" s="155"/>
      <c r="AB252" s="155"/>
    </row>
    <row r="253" spans="26:28" s="2" customFormat="1">
      <c r="Z253" s="155"/>
      <c r="AA253" s="155"/>
      <c r="AB253" s="155"/>
    </row>
    <row r="254" spans="26:28" s="2" customFormat="1">
      <c r="Z254" s="155"/>
      <c r="AA254" s="155"/>
      <c r="AB254" s="155"/>
    </row>
    <row r="255" spans="26:28" s="2" customFormat="1">
      <c r="Z255" s="155"/>
      <c r="AA255" s="155"/>
      <c r="AB255" s="155"/>
    </row>
    <row r="256" spans="26:28" s="2" customFormat="1">
      <c r="Z256" s="155"/>
      <c r="AA256" s="155"/>
      <c r="AB256" s="155"/>
    </row>
    <row r="257" spans="26:28" s="2" customFormat="1">
      <c r="Z257" s="155"/>
      <c r="AA257" s="155"/>
      <c r="AB257" s="155"/>
    </row>
    <row r="258" spans="26:28" s="2" customFormat="1">
      <c r="Z258" s="155"/>
      <c r="AA258" s="155"/>
      <c r="AB258" s="155"/>
    </row>
    <row r="259" spans="26:28" s="2" customFormat="1">
      <c r="Z259" s="155"/>
      <c r="AA259" s="155"/>
      <c r="AB259" s="155"/>
    </row>
    <row r="260" spans="26:28" s="2" customFormat="1">
      <c r="Z260" s="155"/>
      <c r="AA260" s="155"/>
      <c r="AB260" s="155"/>
    </row>
    <row r="261" spans="26:28" s="2" customFormat="1">
      <c r="Z261" s="155"/>
      <c r="AA261" s="155"/>
      <c r="AB261" s="155"/>
    </row>
    <row r="262" spans="26:28" s="2" customFormat="1">
      <c r="Z262" s="155"/>
      <c r="AA262" s="155"/>
      <c r="AB262" s="155"/>
    </row>
    <row r="263" spans="26:28" s="2" customFormat="1">
      <c r="Z263" s="155"/>
      <c r="AA263" s="155"/>
      <c r="AB263" s="155"/>
    </row>
    <row r="264" spans="26:28" s="2" customFormat="1">
      <c r="Z264" s="155"/>
      <c r="AA264" s="155"/>
      <c r="AB264" s="155"/>
    </row>
    <row r="265" spans="26:28" s="2" customFormat="1">
      <c r="Z265" s="155"/>
      <c r="AA265" s="155"/>
      <c r="AB265" s="155"/>
    </row>
    <row r="266" spans="26:28" s="2" customFormat="1">
      <c r="Z266" s="155"/>
      <c r="AA266" s="155"/>
      <c r="AB266" s="155"/>
    </row>
    <row r="267" spans="26:28" s="2" customFormat="1">
      <c r="Z267" s="155"/>
      <c r="AA267" s="155"/>
      <c r="AB267" s="155"/>
    </row>
    <row r="268" spans="26:28" s="2" customFormat="1">
      <c r="Z268" s="155"/>
      <c r="AA268" s="155"/>
      <c r="AB268" s="155"/>
    </row>
    <row r="269" spans="26:28" s="2" customFormat="1">
      <c r="Z269" s="155"/>
      <c r="AA269" s="155"/>
      <c r="AB269" s="155"/>
    </row>
    <row r="270" spans="26:28" s="2" customFormat="1">
      <c r="Z270" s="155"/>
      <c r="AA270" s="155"/>
      <c r="AB270" s="155"/>
    </row>
    <row r="271" spans="26:28" s="2" customFormat="1">
      <c r="Z271" s="155"/>
      <c r="AA271" s="155"/>
      <c r="AB271" s="155"/>
    </row>
  </sheetData>
  <sortState xmlns:xlrd2="http://schemas.microsoft.com/office/spreadsheetml/2017/richdata2" columnSort="1" ref="C1:I60">
    <sortCondition descending="1" ref="C1:I1"/>
  </sortState>
  <pageMargins left="0.70866141732283472" right="0.70866141732283472" top="0.74803149606299213" bottom="0.74803149606299213" header="0.31496062992125984" footer="0.31496062992125984"/>
  <pageSetup paperSize="9" scale="70" orientation="landscape" r:id="rId1"/>
  <headerFooter>
    <oddFooter>&amp;C_x000D_&amp;1#&amp;"Calibri"&amp;15&amp;K000000 Internal document</oddFooter>
  </headerFooter>
  <customProperties>
    <customPr name="EpmWorksheetKeyString_GUID" r:id="rId2"/>
  </customProperties>
  <ignoredErrors>
    <ignoredError sqref="S58:T58" formula="1"/>
  </ignoredErrors>
</worksheet>
</file>

<file path=docMetadata/LabelInfo.xml><?xml version="1.0" encoding="utf-8"?>
<clbl:labelList xmlns:clbl="http://schemas.microsoft.com/office/2020/mipLabelMetadata">
  <clbl:label id="{2a0926b8-bf16-4a60-adaf-5bd46f8df9ae}" enabled="1" method="Standard" siteId="{0f861177-7722-4f06-8db9-3384e5321a9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49</vt:i4>
      </vt:variant>
    </vt:vector>
  </HeadingPairs>
  <TitlesOfParts>
    <vt:vector size="53" baseType="lpstr">
      <vt:lpstr>Definitioner</vt:lpstr>
      <vt:lpstr>RR</vt:lpstr>
      <vt:lpstr>BR</vt:lpstr>
      <vt:lpstr>Kassaflöde</vt:lpstr>
      <vt:lpstr>RR!Average_capital_employed</vt:lpstr>
      <vt:lpstr>Avkastning_på_sysselsatt_kapital</vt:lpstr>
      <vt:lpstr>BR!Balance_Sheets__SEK_M</vt:lpstr>
      <vt:lpstr>Balansräkningar</vt:lpstr>
      <vt:lpstr>RR!Capital_turnover_rate</vt:lpstr>
      <vt:lpstr>Kassaflöde!CasConRat</vt:lpstr>
      <vt:lpstr>Kassaflöde!Cash_conversion_ratio</vt:lpstr>
      <vt:lpstr>Kassaflöde!Cash_Flow</vt:lpstr>
      <vt:lpstr>Kassaflöde!Cash_Flow__SEK_M</vt:lpstr>
      <vt:lpstr>RR!Earnings_per_share__SEK</vt:lpstr>
      <vt:lpstr>RR!EBIT</vt:lpstr>
      <vt:lpstr>EBIT_</vt:lpstr>
      <vt:lpstr>RR!EBIT__excluding_items_affecting_comparability</vt:lpstr>
      <vt:lpstr>EBIT__exklusive_jämförelsestörande_poster</vt:lpstr>
      <vt:lpstr>RR!EBIT_margin_excluding_items_affecting_comparability</vt:lpstr>
      <vt:lpstr>EBIT_marginal_exklusive_jämföreslsestörande_poster</vt:lpstr>
      <vt:lpstr>RR!EBITA_margin_excluding_items_affecting_comparability</vt:lpstr>
      <vt:lpstr>EBITA_marginal_exklusive_jämföreslsestörande_poster</vt:lpstr>
      <vt:lpstr>RR!EBITDA__excluding_items_affecting_comparability</vt:lpstr>
      <vt:lpstr>EBITDA__exklusive_jämförelsestörande_poster</vt:lpstr>
      <vt:lpstr>RR!EBITDA_margin_excluding_items_affecting_comparability</vt:lpstr>
      <vt:lpstr>EBITDA_marginal_exklusive_jämföreslsestörande_poster</vt:lpstr>
      <vt:lpstr>RR!EBITDA_Net_interest_income_expense</vt:lpstr>
      <vt:lpstr>EBITDA_Räntenetto</vt:lpstr>
      <vt:lpstr>RR!EBITspec</vt:lpstr>
      <vt:lpstr>BR!Eqasratio</vt:lpstr>
      <vt:lpstr>BR!Equity_assets_ratio</vt:lpstr>
      <vt:lpstr>Kassaflöde!Free_cash_flow_per_share</vt:lpstr>
      <vt:lpstr>Kassaflöde!Frepsha</vt:lpstr>
      <vt:lpstr>Fritt_kassaflöde_per_aktie</vt:lpstr>
      <vt:lpstr>Genomsnittligt_sysselsatt_kapital__R12</vt:lpstr>
      <vt:lpstr>RR!Income_Statements__SEK_M</vt:lpstr>
      <vt:lpstr>Kapitalomsättningshastighet</vt:lpstr>
      <vt:lpstr>Kassaflödesrapporter</vt:lpstr>
      <vt:lpstr>Kassakonvertering</vt:lpstr>
      <vt:lpstr>Kassaflöde!opcapsh</vt:lpstr>
      <vt:lpstr>Kassaflöde!Operating_cash_flow</vt:lpstr>
      <vt:lpstr>Kassaflöde!Operating_cash_flow_per_share</vt:lpstr>
      <vt:lpstr>Operativt_kassaflöde</vt:lpstr>
      <vt:lpstr>Operativt_kassaflöde_per_aktie</vt:lpstr>
      <vt:lpstr>RR!P_E_ratio</vt:lpstr>
      <vt:lpstr>P_E_tal</vt:lpstr>
      <vt:lpstr>RR!PEra</vt:lpstr>
      <vt:lpstr>RR!RatCapTurn</vt:lpstr>
      <vt:lpstr>Resultat_per_aktie__SEK</vt:lpstr>
      <vt:lpstr>Resultaträkningar</vt:lpstr>
      <vt:lpstr>RR!RetCapEmp</vt:lpstr>
      <vt:lpstr>Rntek</vt:lpstr>
      <vt:lpstr>Soliditet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Tobias Rydergren</cp:lastModifiedBy>
  <cp:lastPrinted>2025-10-16T12:15:33Z</cp:lastPrinted>
  <dcterms:created xsi:type="dcterms:W3CDTF">2018-01-31T16:01:07Z</dcterms:created>
  <dcterms:modified xsi:type="dcterms:W3CDTF">2026-04-22T09:02:15Z</dcterms:modified>
</cp:coreProperties>
</file>